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 activeTab="1"/>
  </bookViews>
  <sheets>
    <sheet name="Model Data" sheetId="1" r:id="rId1"/>
    <sheet name="KIM" sheetId="2" r:id="rId2"/>
    <sheet name="Bai comparison" sheetId="4" r:id="rId3"/>
  </sheets>
  <calcPr calcId="152511"/>
</workbook>
</file>

<file path=xl/calcChain.xml><?xml version="1.0" encoding="utf-8"?>
<calcChain xmlns="http://schemas.openxmlformats.org/spreadsheetml/2006/main">
  <c r="S58" i="2" l="1"/>
  <c r="S61" i="2"/>
  <c r="S56" i="2" l="1"/>
  <c r="S60" i="2" l="1"/>
  <c r="Z9" i="2"/>
  <c r="Z10" i="2"/>
  <c r="Z11" i="2"/>
  <c r="Z12" i="2"/>
  <c r="Z13" i="2"/>
  <c r="Z14" i="2"/>
  <c r="Z15" i="2"/>
  <c r="Z16" i="2"/>
  <c r="Z17" i="2"/>
  <c r="Z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8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46" i="2"/>
  <c r="S54" i="2"/>
  <c r="S55" i="2"/>
  <c r="S57" i="2"/>
  <c r="S59" i="2"/>
  <c r="S52" i="2" l="1"/>
  <c r="S51" i="2" l="1"/>
  <c r="S50" i="2"/>
  <c r="S49" i="2"/>
  <c r="S48" i="2"/>
  <c r="S47" i="2"/>
  <c r="Q44" i="2"/>
  <c r="O45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46" i="2"/>
  <c r="D10" i="1"/>
  <c r="S53" i="2"/>
  <c r="D54" i="2"/>
  <c r="B47" i="2"/>
  <c r="B48" i="2"/>
  <c r="B49" i="2"/>
  <c r="B50" i="2"/>
  <c r="B51" i="2"/>
  <c r="B52" i="2"/>
  <c r="B53" i="2"/>
  <c r="B54" i="2"/>
  <c r="E54" i="2" s="1"/>
  <c r="F54" i="2" s="1"/>
  <c r="B55" i="2"/>
  <c r="B56" i="2"/>
  <c r="B57" i="2"/>
  <c r="B58" i="2"/>
  <c r="B59" i="2"/>
  <c r="B60" i="2"/>
  <c r="B61" i="2"/>
  <c r="B62" i="2"/>
  <c r="B63" i="2"/>
  <c r="B64" i="2"/>
  <c r="B65" i="2"/>
  <c r="B66" i="2"/>
  <c r="E66" i="2" s="1"/>
  <c r="F66" i="2" s="1"/>
  <c r="B67" i="2"/>
  <c r="B46" i="2"/>
  <c r="D27" i="1"/>
  <c r="D63" i="2" l="1"/>
  <c r="E63" i="2"/>
  <c r="F63" i="2" s="1"/>
  <c r="D51" i="2"/>
  <c r="E51" i="2"/>
  <c r="F51" i="2" s="1"/>
  <c r="D50" i="2"/>
  <c r="E50" i="2"/>
  <c r="F50" i="2" s="1"/>
  <c r="D48" i="2"/>
  <c r="G48" i="2" s="1"/>
  <c r="E48" i="2"/>
  <c r="F48" i="2" s="1"/>
  <c r="D49" i="2"/>
  <c r="G49" i="2" s="1"/>
  <c r="E49" i="2"/>
  <c r="F49" i="2" s="1"/>
  <c r="D58" i="2"/>
  <c r="G58" i="2" s="1"/>
  <c r="E58" i="2"/>
  <c r="F58" i="2" s="1"/>
  <c r="D66" i="2"/>
  <c r="D59" i="2"/>
  <c r="E59" i="2"/>
  <c r="F59" i="2" s="1"/>
  <c r="D61" i="2"/>
  <c r="E61" i="2"/>
  <c r="F61" i="2" s="1"/>
  <c r="D46" i="2"/>
  <c r="E46" i="2"/>
  <c r="F46" i="2" s="1"/>
  <c r="D67" i="2"/>
  <c r="H67" i="2" s="1"/>
  <c r="E67" i="2"/>
  <c r="F67" i="2" s="1"/>
  <c r="D55" i="2"/>
  <c r="H55" i="2" s="1"/>
  <c r="E55" i="2"/>
  <c r="F55" i="2" s="1"/>
  <c r="D62" i="2"/>
  <c r="G62" i="2" s="1"/>
  <c r="E62" i="2"/>
  <c r="F62" i="2" s="1"/>
  <c r="D60" i="2"/>
  <c r="E60" i="2"/>
  <c r="F60" i="2" s="1"/>
  <c r="D47" i="2"/>
  <c r="E47" i="2"/>
  <c r="F47" i="2" s="1"/>
  <c r="D57" i="2"/>
  <c r="E57" i="2"/>
  <c r="F57" i="2" s="1"/>
  <c r="D56" i="2"/>
  <c r="H56" i="2" s="1"/>
  <c r="E56" i="2"/>
  <c r="F56" i="2" s="1"/>
  <c r="D65" i="2"/>
  <c r="G65" i="2" s="1"/>
  <c r="E65" i="2"/>
  <c r="F65" i="2" s="1"/>
  <c r="D53" i="2"/>
  <c r="H53" i="2" s="1"/>
  <c r="E53" i="2"/>
  <c r="F53" i="2" s="1"/>
  <c r="D64" i="2"/>
  <c r="E64" i="2"/>
  <c r="F64" i="2" s="1"/>
  <c r="D52" i="2"/>
  <c r="E52" i="2"/>
  <c r="F52" i="2" s="1"/>
  <c r="H47" i="2"/>
  <c r="G47" i="2"/>
  <c r="H59" i="2"/>
  <c r="G59" i="2"/>
  <c r="G57" i="2"/>
  <c r="H57" i="2"/>
  <c r="H58" i="2"/>
  <c r="H66" i="2"/>
  <c r="G66" i="2"/>
  <c r="H46" i="2"/>
  <c r="G46" i="2"/>
  <c r="H65" i="2"/>
  <c r="H50" i="2"/>
  <c r="G50" i="2"/>
  <c r="H64" i="2"/>
  <c r="G64" i="2"/>
  <c r="H51" i="2"/>
  <c r="G51" i="2"/>
  <c r="H61" i="2"/>
  <c r="G61" i="2"/>
  <c r="H49" i="2"/>
  <c r="H54" i="2"/>
  <c r="G54" i="2"/>
  <c r="H52" i="2"/>
  <c r="G52" i="2"/>
  <c r="H63" i="2"/>
  <c r="G63" i="2"/>
  <c r="H60" i="2"/>
  <c r="G60" i="2"/>
  <c r="H48" i="2"/>
  <c r="G11" i="1"/>
  <c r="Q2" i="1"/>
  <c r="R2" i="1"/>
  <c r="X2" i="1"/>
  <c r="B3" i="2"/>
  <c r="R16" i="2" s="1"/>
  <c r="Q16" i="2" s="1"/>
  <c r="S16" i="2" s="1"/>
  <c r="T2" i="1"/>
  <c r="W2" i="1"/>
  <c r="V2" i="1"/>
  <c r="U2" i="1"/>
  <c r="S2" i="1"/>
  <c r="W17" i="1"/>
  <c r="W20" i="1"/>
  <c r="W21" i="1" s="1"/>
  <c r="T16" i="1"/>
  <c r="W16" i="1" s="1"/>
  <c r="T21" i="1"/>
  <c r="T22" i="1" s="1"/>
  <c r="T23" i="1" s="1"/>
  <c r="Z1" i="1"/>
  <c r="Z2" i="1" s="1"/>
  <c r="Y4" i="1"/>
  <c r="Y2" i="1"/>
  <c r="D9" i="1"/>
  <c r="B15" i="1"/>
  <c r="C18" i="1" s="1"/>
  <c r="D18" i="1" s="1"/>
  <c r="E2" i="1"/>
  <c r="D4" i="1"/>
  <c r="D11" i="1" s="1"/>
  <c r="D12" i="1" s="1"/>
  <c r="D5" i="1"/>
  <c r="D6" i="1"/>
  <c r="D7" i="1"/>
  <c r="D8" i="1"/>
  <c r="D3" i="1"/>
  <c r="E3" i="1" s="1"/>
  <c r="G55" i="2" l="1"/>
  <c r="G53" i="2"/>
  <c r="G56" i="2"/>
  <c r="G67" i="2"/>
  <c r="H62" i="2"/>
  <c r="R15" i="2"/>
  <c r="Q15" i="2" s="1"/>
  <c r="S15" i="2" s="1"/>
  <c r="R12" i="2"/>
  <c r="Q12" i="2" s="1"/>
  <c r="S12" i="2" s="1"/>
  <c r="P60" i="2"/>
  <c r="P48" i="2"/>
  <c r="AB9" i="2" s="1"/>
  <c r="AC9" i="2" s="1"/>
  <c r="P59" i="2"/>
  <c r="P47" i="2"/>
  <c r="AB8" i="2" s="1"/>
  <c r="AC8" i="2" s="1"/>
  <c r="P58" i="2"/>
  <c r="AB16" i="2" s="1"/>
  <c r="AC16" i="2" s="1"/>
  <c r="P56" i="2"/>
  <c r="AB14" i="2" s="1"/>
  <c r="AC14" i="2" s="1"/>
  <c r="P57" i="2"/>
  <c r="AB15" i="2" s="1"/>
  <c r="AC15" i="2" s="1"/>
  <c r="P51" i="2"/>
  <c r="AB11" i="2" s="1"/>
  <c r="AC11" i="2" s="1"/>
  <c r="P55" i="2"/>
  <c r="P53" i="2"/>
  <c r="AB12" i="2" s="1"/>
  <c r="AC12" i="2" s="1"/>
  <c r="P54" i="2"/>
  <c r="AB13" i="2" s="1"/>
  <c r="AC13" i="2" s="1"/>
  <c r="P52" i="2"/>
  <c r="P46" i="2"/>
  <c r="P50" i="2"/>
  <c r="AB10" i="2" s="1"/>
  <c r="AC10" i="2" s="1"/>
  <c r="P61" i="2"/>
  <c r="AB17" i="2" s="1"/>
  <c r="AC17" i="2" s="1"/>
  <c r="P49" i="2"/>
  <c r="D12" i="2"/>
  <c r="C12" i="2" s="1"/>
  <c r="E12" i="2" s="1"/>
  <c r="D11" i="2"/>
  <c r="C11" i="2" s="1"/>
  <c r="E11" i="2" s="1"/>
  <c r="D10" i="2"/>
  <c r="C10" i="2" s="1"/>
  <c r="E10" i="2" s="1"/>
  <c r="D9" i="2"/>
  <c r="C9" i="2" s="1"/>
  <c r="E9" i="2" s="1"/>
  <c r="R13" i="2"/>
  <c r="Q13" i="2" s="1"/>
  <c r="S13" i="2" s="1"/>
  <c r="R14" i="2"/>
  <c r="Q14" i="2" s="1"/>
  <c r="S14" i="2" s="1"/>
  <c r="B22" i="1"/>
  <c r="B24" i="1" s="1"/>
  <c r="U7" i="1" s="1"/>
  <c r="R9" i="1"/>
  <c r="S7" i="1"/>
  <c r="X7" i="1"/>
  <c r="W7" i="1"/>
  <c r="V7" i="1"/>
  <c r="D22" i="2"/>
  <c r="C22" i="2" s="1"/>
  <c r="E22" i="2" s="1"/>
  <c r="K18" i="2"/>
  <c r="J18" i="2" s="1"/>
  <c r="L18" i="2" s="1"/>
  <c r="K8" i="2"/>
  <c r="J8" i="2" s="1"/>
  <c r="L8" i="2" s="1"/>
  <c r="R18" i="2"/>
  <c r="Q18" i="2" s="1"/>
  <c r="S18" i="2" s="1"/>
  <c r="K16" i="2"/>
  <c r="J16" i="2" s="1"/>
  <c r="L16" i="2" s="1"/>
  <c r="K17" i="2"/>
  <c r="J17" i="2" s="1"/>
  <c r="L17" i="2" s="1"/>
  <c r="D21" i="2"/>
  <c r="C21" i="2" s="1"/>
  <c r="E21" i="2" s="1"/>
  <c r="K19" i="2"/>
  <c r="J19" i="2" s="1"/>
  <c r="L19" i="2" s="1"/>
  <c r="R17" i="2"/>
  <c r="Q17" i="2" s="1"/>
  <c r="S17" i="2" s="1"/>
  <c r="K9" i="2"/>
  <c r="J9" i="2" s="1"/>
  <c r="L9" i="2" s="1"/>
  <c r="D23" i="2"/>
  <c r="C23" i="2" s="1"/>
  <c r="E23" i="2" s="1"/>
  <c r="D20" i="2"/>
  <c r="C20" i="2" s="1"/>
  <c r="E20" i="2" s="1"/>
  <c r="K20" i="2"/>
  <c r="J20" i="2" s="1"/>
  <c r="L20" i="2" s="1"/>
  <c r="D8" i="2"/>
  <c r="C8" i="2" s="1"/>
  <c r="E8" i="2" s="1"/>
  <c r="D19" i="2"/>
  <c r="C19" i="2" s="1"/>
  <c r="E19" i="2" s="1"/>
  <c r="K21" i="2"/>
  <c r="J21" i="2" s="1"/>
  <c r="L21" i="2" s="1"/>
  <c r="K11" i="2"/>
  <c r="J11" i="2" s="1"/>
  <c r="L11" i="2" s="1"/>
  <c r="K23" i="2"/>
  <c r="J23" i="2" s="1"/>
  <c r="L23" i="2" s="1"/>
  <c r="R20" i="2"/>
  <c r="Q20" i="2" s="1"/>
  <c r="S20" i="2" s="1"/>
  <c r="K10" i="2"/>
  <c r="J10" i="2" s="1"/>
  <c r="L10" i="2" s="1"/>
  <c r="R19" i="2"/>
  <c r="Q19" i="2" s="1"/>
  <c r="S19" i="2" s="1"/>
  <c r="D16" i="2"/>
  <c r="C16" i="2" s="1"/>
  <c r="E16" i="2" s="1"/>
  <c r="K12" i="2"/>
  <c r="J12" i="2" s="1"/>
  <c r="L12" i="2" s="1"/>
  <c r="R8" i="2"/>
  <c r="Q8" i="2" s="1"/>
  <c r="S8" i="2" s="1"/>
  <c r="R21" i="2"/>
  <c r="Q21" i="2" s="1"/>
  <c r="S21" i="2" s="1"/>
  <c r="K22" i="2"/>
  <c r="J22" i="2" s="1"/>
  <c r="L22" i="2" s="1"/>
  <c r="D15" i="2"/>
  <c r="K13" i="2"/>
  <c r="J13" i="2" s="1"/>
  <c r="L13" i="2" s="1"/>
  <c r="R9" i="2"/>
  <c r="Q9" i="2" s="1"/>
  <c r="S9" i="2" s="1"/>
  <c r="R22" i="2"/>
  <c r="Q22" i="2" s="1"/>
  <c r="S22" i="2" s="1"/>
  <c r="D18" i="2"/>
  <c r="C18" i="2" s="1"/>
  <c r="E18" i="2" s="1"/>
  <c r="D17" i="2"/>
  <c r="C17" i="2" s="1"/>
  <c r="E17" i="2" s="1"/>
  <c r="D14" i="2"/>
  <c r="C14" i="2" s="1"/>
  <c r="E14" i="2" s="1"/>
  <c r="K14" i="2"/>
  <c r="J14" i="2" s="1"/>
  <c r="L14" i="2" s="1"/>
  <c r="R10" i="2"/>
  <c r="Q10" i="2" s="1"/>
  <c r="S10" i="2" s="1"/>
  <c r="D13" i="2"/>
  <c r="C13" i="2" s="1"/>
  <c r="E13" i="2" s="1"/>
  <c r="K15" i="2"/>
  <c r="J15" i="2" s="1"/>
  <c r="L15" i="2" s="1"/>
  <c r="R11" i="2"/>
  <c r="Q11" i="2" s="1"/>
  <c r="S11" i="2" s="1"/>
  <c r="Y7" i="1"/>
  <c r="W22" i="1"/>
  <c r="C17" i="1"/>
  <c r="D17" i="1" s="1"/>
  <c r="G6" i="1"/>
  <c r="G7" i="1" s="1"/>
  <c r="G9" i="1" s="1"/>
  <c r="G10" i="1" s="1"/>
  <c r="B23" i="1"/>
  <c r="C23" i="1" s="1"/>
  <c r="T18" i="1"/>
  <c r="T24" i="1" s="1"/>
  <c r="W18" i="1" s="1"/>
  <c r="Z7" i="1" l="1"/>
  <c r="Q54" i="2"/>
  <c r="T54" i="2"/>
  <c r="U54" i="2" s="1"/>
  <c r="AD13" i="2" s="1"/>
  <c r="Q53" i="2"/>
  <c r="T53" i="2"/>
  <c r="Q51" i="2"/>
  <c r="T51" i="2"/>
  <c r="Q57" i="2"/>
  <c r="T57" i="2"/>
  <c r="Q56" i="2"/>
  <c r="T56" i="2"/>
  <c r="Q58" i="2"/>
  <c r="T58" i="2"/>
  <c r="T55" i="2"/>
  <c r="Q55" i="2"/>
  <c r="Q61" i="2"/>
  <c r="T61" i="2"/>
  <c r="Q59" i="2"/>
  <c r="T59" i="2"/>
  <c r="Q47" i="2"/>
  <c r="T47" i="2"/>
  <c r="Q50" i="2"/>
  <c r="T50" i="2"/>
  <c r="Q48" i="2"/>
  <c r="T48" i="2"/>
  <c r="Q49" i="2"/>
  <c r="T49" i="2"/>
  <c r="Q46" i="2"/>
  <c r="T46" i="2"/>
  <c r="V46" i="2" s="1"/>
  <c r="X46" i="2" s="1"/>
  <c r="Q60" i="2"/>
  <c r="T60" i="2"/>
  <c r="Q52" i="2"/>
  <c r="T52" i="2"/>
  <c r="C15" i="2"/>
  <c r="E15" i="2" s="1"/>
  <c r="E3" i="2"/>
  <c r="W23" i="1"/>
  <c r="W24" i="1" s="1"/>
  <c r="V60" i="2" l="1"/>
  <c r="X60" i="2" s="1"/>
  <c r="U60" i="2"/>
  <c r="V56" i="2"/>
  <c r="X56" i="2" s="1"/>
  <c r="U56" i="2"/>
  <c r="AD14" i="2" s="1"/>
  <c r="V61" i="2"/>
  <c r="X61" i="2" s="1"/>
  <c r="U61" i="2"/>
  <c r="AD17" i="2" s="1"/>
  <c r="V58" i="2"/>
  <c r="X58" i="2" s="1"/>
  <c r="U58" i="2"/>
  <c r="AD16" i="2" s="1"/>
  <c r="V54" i="2"/>
  <c r="X54" i="2" s="1"/>
  <c r="V48" i="2"/>
  <c r="X48" i="2" s="1"/>
  <c r="U48" i="2"/>
  <c r="AD9" i="2" s="1"/>
  <c r="V50" i="2"/>
  <c r="X50" i="2" s="1"/>
  <c r="U50" i="2"/>
  <c r="AD10" i="2" s="1"/>
  <c r="V47" i="2"/>
  <c r="X47" i="2" s="1"/>
  <c r="U47" i="2"/>
  <c r="AD8" i="2" s="1"/>
  <c r="U57" i="2"/>
  <c r="AD15" i="2" s="1"/>
  <c r="V57" i="2"/>
  <c r="X57" i="2" s="1"/>
  <c r="U52" i="2"/>
  <c r="V52" i="2"/>
  <c r="X52" i="2" s="1"/>
  <c r="U59" i="2"/>
  <c r="V59" i="2"/>
  <c r="X59" i="2" s="1"/>
  <c r="V53" i="2"/>
  <c r="X53" i="2" s="1"/>
  <c r="Z53" i="2" s="1"/>
  <c r="U53" i="2"/>
  <c r="AD12" i="2" s="1"/>
  <c r="V49" i="2"/>
  <c r="X49" i="2" s="1"/>
  <c r="Z49" i="2" s="1"/>
  <c r="U49" i="2"/>
  <c r="V51" i="2"/>
  <c r="X51" i="2" s="1"/>
  <c r="U51" i="2"/>
  <c r="AD11" i="2" s="1"/>
  <c r="U55" i="2"/>
  <c r="V55" i="2"/>
  <c r="X55" i="2" s="1"/>
</calcChain>
</file>

<file path=xl/sharedStrings.xml><?xml version="1.0" encoding="utf-8"?>
<sst xmlns="http://schemas.openxmlformats.org/spreadsheetml/2006/main" count="128" uniqueCount="70">
  <si>
    <t>L</t>
  </si>
  <si>
    <t>B/L</t>
  </si>
  <si>
    <t>d/L</t>
  </si>
  <si>
    <t>B</t>
  </si>
  <si>
    <t>zT</t>
  </si>
  <si>
    <t>lT</t>
  </si>
  <si>
    <t>bT</t>
  </si>
  <si>
    <t>hT</t>
  </si>
  <si>
    <t>D</t>
  </si>
  <si>
    <t>zT/L</t>
  </si>
  <si>
    <t>lT/L</t>
  </si>
  <si>
    <t>bT/L</t>
  </si>
  <si>
    <t>hT/L</t>
  </si>
  <si>
    <t>L/g</t>
  </si>
  <si>
    <t>w*(L/g)^0.5</t>
  </si>
  <si>
    <t>min</t>
  </si>
  <si>
    <t>max</t>
  </si>
  <si>
    <t>w</t>
  </si>
  <si>
    <t>T</t>
  </si>
  <si>
    <t>w_r*(L/g)^0.5</t>
  </si>
  <si>
    <t>T_r</t>
  </si>
  <si>
    <t>I</t>
  </si>
  <si>
    <t>w2</t>
  </si>
  <si>
    <t>K</t>
  </si>
  <si>
    <t>Ia</t>
  </si>
  <si>
    <t>d1 pillars</t>
  </si>
  <si>
    <t>Vol T</t>
  </si>
  <si>
    <t>vol_liq</t>
  </si>
  <si>
    <t>Npart</t>
  </si>
  <si>
    <t>v_p</t>
  </si>
  <si>
    <t>d_p</t>
  </si>
  <si>
    <t>K_r</t>
  </si>
  <si>
    <t>rxx</t>
  </si>
  <si>
    <t>ZG</t>
  </si>
  <si>
    <t>GM</t>
  </si>
  <si>
    <t>RAO</t>
  </si>
  <si>
    <t>IT</t>
  </si>
  <si>
    <t>M</t>
  </si>
  <si>
    <t>w_r</t>
  </si>
  <si>
    <t>roll</t>
  </si>
  <si>
    <t>NO ART</t>
  </si>
  <si>
    <t>SMOOTH</t>
  </si>
  <si>
    <t>PILLARS</t>
  </si>
  <si>
    <t>w*sqrt(L/g)</t>
  </si>
  <si>
    <t>g</t>
  </si>
  <si>
    <t>RAO (rad/m)</t>
  </si>
  <si>
    <t>Tmin</t>
  </si>
  <si>
    <t>Tmax</t>
  </si>
  <si>
    <t>NT</t>
  </si>
  <si>
    <t>Tr</t>
  </si>
  <si>
    <t>Damping</t>
  </si>
  <si>
    <t>Rao roll</t>
  </si>
  <si>
    <t>A=0.005*47.6</t>
  </si>
  <si>
    <t>Roll</t>
  </si>
  <si>
    <t>Rao</t>
  </si>
  <si>
    <t>ZT</t>
  </si>
  <si>
    <t>dT</t>
  </si>
  <si>
    <t>heave</t>
  </si>
  <si>
    <t>Damp=0.04</t>
  </si>
  <si>
    <t>A</t>
  </si>
  <si>
    <t>Rao 1</t>
  </si>
  <si>
    <t>Rao 2</t>
  </si>
  <si>
    <t>W/Wr</t>
  </si>
  <si>
    <t>w/wr</t>
  </si>
  <si>
    <t>Bai PILLARS</t>
  </si>
  <si>
    <t>Present with ART</t>
  </si>
  <si>
    <t>PRESENT WORK no ART</t>
  </si>
  <si>
    <t>PRESENT WORK with ART</t>
  </si>
  <si>
    <t>BAI &amp; RHEE No ART (exp)</t>
  </si>
  <si>
    <t>BAI &amp; RHEE with ART (exp)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</si>
</sst>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3">
    <xf numFmtId="0" fontId="0" fillId="0" borderId="0" xfId="0"/>
    <xf numFmtId="11" fontId="0" fillId="0" borderId="0" xfId="0" applyNumberFormat="1"/>
    <xf numFmtId="164" fontId="0" fillId="0" borderId="0" xfId="0" applyNumberFormat="1"/>
    <xf numFmtId="0" fontId="0" fillId="2" borderId="0" xfId="0" applyFill="1"/>
    <xf numFmtId="11" fontId="0" fillId="0" borderId="0" xfId="0" applyNumberFormat="1" applyFill="1"/>
    <xf numFmtId="0" fontId="1" fillId="0" borderId="0" xfId="0" applyFont="1" applyFill="1"/>
    <xf numFmtId="11" fontId="1" fillId="0" borderId="0" xfId="0" applyNumberFormat="1" applyFont="1" applyFill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'Model Data'!$S$1:$Z$1</c:f>
              <c:numCache>
                <c:formatCode>General</c:formatCode>
                <c:ptCount val="8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1.1000000000000001</c:v>
                </c:pt>
                <c:pt idx="6">
                  <c:v>1.23</c:v>
                </c:pt>
                <c:pt idx="7">
                  <c:v>1.4470000000000001</c:v>
                </c:pt>
              </c:numCache>
            </c:numRef>
          </c:xVal>
          <c:yVal>
            <c:numRef>
              <c:f>'Model Data'!$S$4:$Z$4</c:f>
              <c:numCache>
                <c:formatCode>General</c:formatCode>
                <c:ptCount val="8"/>
                <c:pt idx="0">
                  <c:v>5.93</c:v>
                </c:pt>
                <c:pt idx="1">
                  <c:v>5.5</c:v>
                </c:pt>
                <c:pt idx="2">
                  <c:v>5.04</c:v>
                </c:pt>
                <c:pt idx="3">
                  <c:v>4.5469999999999997</c:v>
                </c:pt>
                <c:pt idx="4">
                  <c:v>4</c:v>
                </c:pt>
                <c:pt idx="5">
                  <c:v>3.75</c:v>
                </c:pt>
                <c:pt idx="6">
                  <c:v>3.43</c:v>
                </c:pt>
                <c:pt idx="7">
                  <c:v>2.5836000000000001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821936"/>
        <c:axId val="121825744"/>
      </c:scatterChart>
      <c:valAx>
        <c:axId val="12182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825744"/>
        <c:crosses val="autoZero"/>
        <c:crossBetween val="midCat"/>
      </c:valAx>
      <c:valAx>
        <c:axId val="121825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821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915167801317E-2"/>
          <c:y val="2.2429332697049234E-2"/>
          <c:w val="0.94023022045431648"/>
          <c:h val="0.9269612662053606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KIM!$A$6</c:f>
              <c:strCache>
                <c:ptCount val="1"/>
                <c:pt idx="0">
                  <c:v>NO ART</c:v>
                </c:pt>
              </c:strCache>
            </c:strRef>
          </c:tx>
          <c:xVal>
            <c:numRef>
              <c:f>KIM!$D$8:$D$23</c:f>
              <c:numCache>
                <c:formatCode>0.000</c:formatCode>
                <c:ptCount val="16"/>
                <c:pt idx="0">
                  <c:v>0.40776491751296806</c:v>
                </c:pt>
                <c:pt idx="1">
                  <c:v>0.45340626366414993</c:v>
                </c:pt>
                <c:pt idx="2">
                  <c:v>0.49904181592816127</c:v>
                </c:pt>
                <c:pt idx="3">
                  <c:v>0.54376772790709449</c:v>
                </c:pt>
                <c:pt idx="4">
                  <c:v>0.589346789771243</c:v>
                </c:pt>
                <c:pt idx="5">
                  <c:v>0.63574858361297737</c:v>
                </c:pt>
                <c:pt idx="6">
                  <c:v>0.67926212470239711</c:v>
                </c:pt>
                <c:pt idx="7">
                  <c:v>0.703308204913625</c:v>
                </c:pt>
                <c:pt idx="8">
                  <c:v>0.72487305294595927</c:v>
                </c:pt>
                <c:pt idx="9">
                  <c:v>0.7709634253525135</c:v>
                </c:pt>
                <c:pt idx="10">
                  <c:v>0.81586894783359809</c:v>
                </c:pt>
                <c:pt idx="11">
                  <c:v>0.86248801244406448</c:v>
                </c:pt>
                <c:pt idx="12">
                  <c:v>0.90907086525974312</c:v>
                </c:pt>
                <c:pt idx="13">
                  <c:v>0.9529595605431701</c:v>
                </c:pt>
                <c:pt idx="14">
                  <c:v>0.9986327730737663</c:v>
                </c:pt>
                <c:pt idx="15">
                  <c:v>1.044295846301821</c:v>
                </c:pt>
              </c:numCache>
            </c:numRef>
          </c:xVal>
          <c:yVal>
            <c:numRef>
              <c:f>KIM!$E$8:$E$23</c:f>
              <c:numCache>
                <c:formatCode>General</c:formatCode>
                <c:ptCount val="16"/>
                <c:pt idx="0">
                  <c:v>3.1276303355799756E-2</c:v>
                </c:pt>
                <c:pt idx="1">
                  <c:v>4.2740187729037801E-2</c:v>
                </c:pt>
                <c:pt idx="2">
                  <c:v>5.9173494438037273E-2</c:v>
                </c:pt>
                <c:pt idx="3">
                  <c:v>8.6355693018103974E-2</c:v>
                </c:pt>
                <c:pt idx="4">
                  <c:v>0.14528161449616217</c:v>
                </c:pt>
                <c:pt idx="5">
                  <c:v>0.27009508116816006</c:v>
                </c:pt>
                <c:pt idx="6">
                  <c:v>0.58354964204301418</c:v>
                </c:pt>
                <c:pt idx="7">
                  <c:v>0.7296586513216029</c:v>
                </c:pt>
                <c:pt idx="8">
                  <c:v>0.70226298579907653</c:v>
                </c:pt>
                <c:pt idx="9">
                  <c:v>0.35012781739061821</c:v>
                </c:pt>
                <c:pt idx="10">
                  <c:v>0.22405870675856948</c:v>
                </c:pt>
                <c:pt idx="11">
                  <c:v>0.16017970748412028</c:v>
                </c:pt>
                <c:pt idx="12">
                  <c:v>0.12886000280975893</c:v>
                </c:pt>
                <c:pt idx="13">
                  <c:v>0.10114480119067744</c:v>
                </c:pt>
                <c:pt idx="14">
                  <c:v>7.651655902596885E-2</c:v>
                </c:pt>
                <c:pt idx="15">
                  <c:v>6.4779926555874626E-2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KIM!$H$6</c:f>
              <c:strCache>
                <c:ptCount val="1"/>
                <c:pt idx="0">
                  <c:v>SMOOTH</c:v>
                </c:pt>
              </c:strCache>
            </c:strRef>
          </c:tx>
          <c:xVal>
            <c:numRef>
              <c:f>KIM!$K$8:$K$23</c:f>
              <c:numCache>
                <c:formatCode>General</c:formatCode>
                <c:ptCount val="16"/>
                <c:pt idx="0">
                  <c:v>0.4076823546208509</c:v>
                </c:pt>
                <c:pt idx="1">
                  <c:v>0.45323244704916599</c:v>
                </c:pt>
                <c:pt idx="2">
                  <c:v>0.49794387431018355</c:v>
                </c:pt>
                <c:pt idx="3">
                  <c:v>0.5445904598846848</c:v>
                </c:pt>
                <c:pt idx="4">
                  <c:v>0.58852985168082017</c:v>
                </c:pt>
                <c:pt idx="5">
                  <c:v>0.63423493059082559</c:v>
                </c:pt>
                <c:pt idx="6">
                  <c:v>0.67991683395217062</c:v>
                </c:pt>
                <c:pt idx="7">
                  <c:v>0.70230151701851362</c:v>
                </c:pt>
                <c:pt idx="8">
                  <c:v>0.72468475161305912</c:v>
                </c:pt>
                <c:pt idx="9">
                  <c:v>0.77033623706678367</c:v>
                </c:pt>
                <c:pt idx="10">
                  <c:v>0.81597903168975483</c:v>
                </c:pt>
                <c:pt idx="11">
                  <c:v>0.86252712118243846</c:v>
                </c:pt>
                <c:pt idx="12">
                  <c:v>0.90729069342794799</c:v>
                </c:pt>
                <c:pt idx="13">
                  <c:v>0.95384602527958751</c:v>
                </c:pt>
                <c:pt idx="14">
                  <c:v>0.99772023584509828</c:v>
                </c:pt>
                <c:pt idx="15">
                  <c:v>1.0433862060167389</c:v>
                </c:pt>
              </c:numCache>
            </c:numRef>
          </c:xVal>
          <c:yVal>
            <c:numRef>
              <c:f>KIM!$L$8:$L$23</c:f>
              <c:numCache>
                <c:formatCode>General</c:formatCode>
                <c:ptCount val="16"/>
                <c:pt idx="0">
                  <c:v>5.471136858786909E-2</c:v>
                </c:pt>
                <c:pt idx="1">
                  <c:v>0.10371803088410461</c:v>
                </c:pt>
                <c:pt idx="2">
                  <c:v>0.14482878906194083</c:v>
                </c:pt>
                <c:pt idx="3">
                  <c:v>0.12331941286612895</c:v>
                </c:pt>
                <c:pt idx="4">
                  <c:v>9.858638480539815E-2</c:v>
                </c:pt>
                <c:pt idx="5">
                  <c:v>7.8651953549407905E-2</c:v>
                </c:pt>
                <c:pt idx="6">
                  <c:v>6.7506518051776127E-2</c:v>
                </c:pt>
                <c:pt idx="7">
                  <c:v>6.7141650175952569E-2</c:v>
                </c:pt>
                <c:pt idx="8">
                  <c:v>6.7590194862978792E-2</c:v>
                </c:pt>
                <c:pt idx="9">
                  <c:v>7.7842833073904327E-2</c:v>
                </c:pt>
                <c:pt idx="10">
                  <c:v>9.88761064340207E-2</c:v>
                </c:pt>
                <c:pt idx="11">
                  <c:v>0.11047878222152473</c:v>
                </c:pt>
                <c:pt idx="12">
                  <c:v>0.11409406340856285</c:v>
                </c:pt>
                <c:pt idx="13">
                  <c:v>0.11484413820101204</c:v>
                </c:pt>
                <c:pt idx="14">
                  <c:v>0.10594198974956499</c:v>
                </c:pt>
                <c:pt idx="15">
                  <c:v>9.161175588945307E-2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KIM!$O$6</c:f>
              <c:strCache>
                <c:ptCount val="1"/>
                <c:pt idx="0">
                  <c:v>PILLARS</c:v>
                </c:pt>
              </c:strCache>
            </c:strRef>
          </c:tx>
          <c:xVal>
            <c:numRef>
              <c:f>KIM!$R$8:$R$22</c:f>
              <c:numCache>
                <c:formatCode>General</c:formatCode>
                <c:ptCount val="15"/>
                <c:pt idx="0">
                  <c:v>0.40767366379010173</c:v>
                </c:pt>
                <c:pt idx="1">
                  <c:v>0.45321361691587597</c:v>
                </c:pt>
                <c:pt idx="2">
                  <c:v>0.49888103555930496</c:v>
                </c:pt>
                <c:pt idx="3">
                  <c:v>0.54371413445080907</c:v>
                </c:pt>
                <c:pt idx="4">
                  <c:v>0.58943224960694207</c:v>
                </c:pt>
                <c:pt idx="5">
                  <c:v>0.63423493059082559</c:v>
                </c:pt>
                <c:pt idx="6">
                  <c:v>0.67991104006500791</c:v>
                </c:pt>
                <c:pt idx="7">
                  <c:v>0.72556542246230926</c:v>
                </c:pt>
                <c:pt idx="8">
                  <c:v>0.77121545944424064</c:v>
                </c:pt>
                <c:pt idx="9">
                  <c:v>0.81685825406721646</c:v>
                </c:pt>
                <c:pt idx="10">
                  <c:v>0.86251553340810372</c:v>
                </c:pt>
                <c:pt idx="11">
                  <c:v>0.90817570969257688</c:v>
                </c:pt>
                <c:pt idx="12">
                  <c:v>0.95294797276883991</c:v>
                </c:pt>
                <c:pt idx="13">
                  <c:v>0.99861539141226885</c:v>
                </c:pt>
                <c:pt idx="14">
                  <c:v>1.0433876544885272</c:v>
                </c:pt>
              </c:numCache>
            </c:numRef>
          </c:xVal>
          <c:yVal>
            <c:numRef>
              <c:f>KIM!$S$8:$S$22</c:f>
              <c:numCache>
                <c:formatCode>General</c:formatCode>
                <c:ptCount val="15"/>
                <c:pt idx="0">
                  <c:v>5.7177112787835917E-2</c:v>
                </c:pt>
                <c:pt idx="1">
                  <c:v>0.11031834603386459</c:v>
                </c:pt>
                <c:pt idx="2">
                  <c:v>0.12751064537104018</c:v>
                </c:pt>
                <c:pt idx="3">
                  <c:v>0.11341096682077767</c:v>
                </c:pt>
                <c:pt idx="4">
                  <c:v>9.4589424029229083E-2</c:v>
                </c:pt>
                <c:pt idx="5">
                  <c:v>7.8651953549407905E-2</c:v>
                </c:pt>
                <c:pt idx="6">
                  <c:v>7.2082002635876413E-2</c:v>
                </c:pt>
                <c:pt idx="7">
                  <c:v>8.0784297649718478E-2</c:v>
                </c:pt>
                <c:pt idx="8">
                  <c:v>9.4213586274823874E-2</c:v>
                </c:pt>
                <c:pt idx="9">
                  <c:v>0.11725567219341168</c:v>
                </c:pt>
                <c:pt idx="10">
                  <c:v>0.1252059222473762</c:v>
                </c:pt>
                <c:pt idx="11">
                  <c:v>0.12860635271212509</c:v>
                </c:pt>
                <c:pt idx="12">
                  <c:v>0.11912320210449814</c:v>
                </c:pt>
                <c:pt idx="13">
                  <c:v>0.10613217754238195</c:v>
                </c:pt>
                <c:pt idx="14">
                  <c:v>8.8917539358420616E-2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KIM!$C$44</c:f>
              <c:strCache>
                <c:ptCount val="1"/>
                <c:pt idx="0">
                  <c:v>PRESENT WORK no ART</c:v>
                </c:pt>
              </c:strCache>
            </c:strRef>
          </c:tx>
          <c:xVal>
            <c:numRef>
              <c:f>KIM!$B$46:$B$67</c:f>
              <c:numCache>
                <c:formatCode>General</c:formatCode>
                <c:ptCount val="22"/>
                <c:pt idx="0">
                  <c:v>0.3658246857237436</c:v>
                </c:pt>
                <c:pt idx="1">
                  <c:v>0.39908189780168996</c:v>
                </c:pt>
                <c:pt idx="2">
                  <c:v>0.43233620543308632</c:v>
                </c:pt>
                <c:pt idx="3">
                  <c:v>0.46559357593031392</c:v>
                </c:pt>
                <c:pt idx="4">
                  <c:v>0.49885158012747505</c:v>
                </c:pt>
                <c:pt idx="5">
                  <c:v>0.53210807049225417</c:v>
                </c:pt>
                <c:pt idx="6">
                  <c:v>0.56536512414447171</c:v>
                </c:pt>
                <c:pt idx="7">
                  <c:v>0.59862094560642387</c:v>
                </c:pt>
                <c:pt idx="8">
                  <c:v>0.63187789892258961</c:v>
                </c:pt>
                <c:pt idx="9">
                  <c:v>0.66513438400713765</c:v>
                </c:pt>
                <c:pt idx="10">
                  <c:v>0.69839088141372307</c:v>
                </c:pt>
                <c:pt idx="11">
                  <c:v>0.7316476675042487</c:v>
                </c:pt>
                <c:pt idx="12">
                  <c:v>0.76490446063586193</c:v>
                </c:pt>
                <c:pt idx="13">
                  <c:v>0.79816176776624015</c:v>
                </c:pt>
                <c:pt idx="14">
                  <c:v>0.83141820004255362</c:v>
                </c:pt>
                <c:pt idx="15">
                  <c:v>0.86467479074325515</c:v>
                </c:pt>
                <c:pt idx="16">
                  <c:v>0.89793141840963597</c:v>
                </c:pt>
                <c:pt idx="17">
                  <c:v>0.93118853191032314</c:v>
                </c:pt>
                <c:pt idx="18">
                  <c:v>0.96444495890593851</c:v>
                </c:pt>
                <c:pt idx="19">
                  <c:v>0.99770157601070664</c:v>
                </c:pt>
                <c:pt idx="20">
                  <c:v>1.0309582406427402</c:v>
                </c:pt>
                <c:pt idx="21">
                  <c:v>1.0642143384687124</c:v>
                </c:pt>
              </c:numCache>
            </c:numRef>
          </c:xVal>
          <c:yVal>
            <c:numRef>
              <c:f>KIM!$C$46:$C$67</c:f>
              <c:numCache>
                <c:formatCode>General</c:formatCode>
                <c:ptCount val="22"/>
                <c:pt idx="0">
                  <c:v>2.5023199999999999E-2</c:v>
                </c:pt>
                <c:pt idx="1">
                  <c:v>3.1192999999999999E-2</c:v>
                </c:pt>
                <c:pt idx="2">
                  <c:v>4.0157499999999999E-2</c:v>
                </c:pt>
                <c:pt idx="3">
                  <c:v>4.9922399999999999E-2</c:v>
                </c:pt>
                <c:pt idx="4">
                  <c:v>6.5063800000000005E-2</c:v>
                </c:pt>
                <c:pt idx="5">
                  <c:v>8.4447800000000003E-2</c:v>
                </c:pt>
                <c:pt idx="6">
                  <c:v>0.112638</c:v>
                </c:pt>
                <c:pt idx="7">
                  <c:v>0.160386</c:v>
                </c:pt>
                <c:pt idx="8">
                  <c:v>0.246172</c:v>
                </c:pt>
                <c:pt idx="9">
                  <c:v>0.42480099999999998</c:v>
                </c:pt>
                <c:pt idx="10">
                  <c:v>0.73706899999999997</c:v>
                </c:pt>
                <c:pt idx="11">
                  <c:v>0.52532199999999996</c:v>
                </c:pt>
                <c:pt idx="12">
                  <c:v>0.32505400000000001</c:v>
                </c:pt>
                <c:pt idx="13">
                  <c:v>0.23297599999999999</c:v>
                </c:pt>
                <c:pt idx="14">
                  <c:v>0.18034600000000001</c:v>
                </c:pt>
                <c:pt idx="15">
                  <c:v>0.14910100000000001</c:v>
                </c:pt>
                <c:pt idx="16">
                  <c:v>0.12533900000000001</c:v>
                </c:pt>
                <c:pt idx="17">
                  <c:v>0.10753500000000001</c:v>
                </c:pt>
                <c:pt idx="18">
                  <c:v>9.3306200000000006E-2</c:v>
                </c:pt>
                <c:pt idx="19">
                  <c:v>8.2711300000000001E-2</c:v>
                </c:pt>
                <c:pt idx="20">
                  <c:v>7.2574700000000006E-2</c:v>
                </c:pt>
                <c:pt idx="21">
                  <c:v>6.5409099999999998E-2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KIM!$O$44</c:f>
              <c:strCache>
                <c:ptCount val="1"/>
                <c:pt idx="0">
                  <c:v>PRESENT WORK with ART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KIM!$P$46:$P$61</c:f>
              <c:numCache>
                <c:formatCode>0.000</c:formatCode>
                <c:ptCount val="16"/>
                <c:pt idx="0">
                  <c:v>0.40850687588712487</c:v>
                </c:pt>
                <c:pt idx="1">
                  <c:v>0.45389652876347208</c:v>
                </c:pt>
                <c:pt idx="2">
                  <c:v>0.4992861816398193</c:v>
                </c:pt>
                <c:pt idx="3">
                  <c:v>0.54467583451616652</c:v>
                </c:pt>
                <c:pt idx="4">
                  <c:v>0.59006548739251374</c:v>
                </c:pt>
                <c:pt idx="5">
                  <c:v>0.63545514026886085</c:v>
                </c:pt>
                <c:pt idx="6">
                  <c:v>0.68084479314520807</c:v>
                </c:pt>
                <c:pt idx="7">
                  <c:v>0.70353961958338174</c:v>
                </c:pt>
                <c:pt idx="8">
                  <c:v>0.7262344460215554</c:v>
                </c:pt>
                <c:pt idx="9">
                  <c:v>0.77162409889790251</c:v>
                </c:pt>
                <c:pt idx="10">
                  <c:v>0.81701375177424973</c:v>
                </c:pt>
                <c:pt idx="11">
                  <c:v>0.86240340465059695</c:v>
                </c:pt>
                <c:pt idx="12">
                  <c:v>0.90779305752694417</c:v>
                </c:pt>
                <c:pt idx="13">
                  <c:v>0.95318271040329139</c:v>
                </c:pt>
                <c:pt idx="14">
                  <c:v>0.99857236327963861</c:v>
                </c:pt>
                <c:pt idx="15">
                  <c:v>1.0439620161559857</c:v>
                </c:pt>
              </c:numCache>
            </c:numRef>
          </c:xVal>
          <c:yVal>
            <c:numRef>
              <c:f>KIM!$S$46:$S$61</c:f>
              <c:numCache>
                <c:formatCode>General</c:formatCode>
                <c:ptCount val="16"/>
                <c:pt idx="1">
                  <c:v>8.4033613445378144E-2</c:v>
                </c:pt>
                <c:pt idx="2">
                  <c:v>0.13277310924369748</c:v>
                </c:pt>
                <c:pt idx="3">
                  <c:v>0.2310924369747899</c:v>
                </c:pt>
                <c:pt idx="4">
                  <c:v>0.20588235294117646</c:v>
                </c:pt>
                <c:pt idx="5">
                  <c:v>0.14033613445378149</c:v>
                </c:pt>
                <c:pt idx="6">
                  <c:v>9.9579831932773102E-2</c:v>
                </c:pt>
                <c:pt idx="7">
                  <c:v>8.8235294117647065E-2</c:v>
                </c:pt>
                <c:pt idx="8">
                  <c:v>8.2352941176470573E-2</c:v>
                </c:pt>
                <c:pt idx="9">
                  <c:v>8.2436974789915948E-2</c:v>
                </c:pt>
                <c:pt idx="10">
                  <c:v>9.7899159663865545E-2</c:v>
                </c:pt>
                <c:pt idx="11">
                  <c:v>0.11008403361344538</c:v>
                </c:pt>
                <c:pt idx="12">
                  <c:v>0.13865546218487396</c:v>
                </c:pt>
                <c:pt idx="13">
                  <c:v>0.15336134453781511</c:v>
                </c:pt>
                <c:pt idx="14">
                  <c:v>0.10084033613445377</c:v>
                </c:pt>
                <c:pt idx="15">
                  <c:v>7.5630252100840328E-3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014016"/>
        <c:axId val="403012928"/>
      </c:scatterChart>
      <c:valAx>
        <c:axId val="403014016"/>
        <c:scaling>
          <c:orientation val="minMax"/>
          <c:max val="1.05"/>
          <c:min val="0.4"/>
        </c:scaling>
        <c:delete val="0"/>
        <c:axPos val="b"/>
        <c:numFmt formatCode="0.000" sourceLinked="1"/>
        <c:majorTickMark val="out"/>
        <c:minorTickMark val="none"/>
        <c:tickLblPos val="nextTo"/>
        <c:crossAx val="403012928"/>
        <c:crosses val="autoZero"/>
        <c:crossBetween val="midCat"/>
      </c:valAx>
      <c:valAx>
        <c:axId val="403012928"/>
        <c:scaling>
          <c:orientation val="minMax"/>
          <c:max val="0.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30140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915167801317E-2"/>
          <c:y val="2.2429332697049234E-2"/>
          <c:w val="0.94023022045431648"/>
          <c:h val="0.9269612662053606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KIM!$A$6</c:f>
              <c:strCache>
                <c:ptCount val="1"/>
                <c:pt idx="0">
                  <c:v>NO ART</c:v>
                </c:pt>
              </c:strCache>
            </c:strRef>
          </c:tx>
          <c:xVal>
            <c:numRef>
              <c:f>KIM!$A$8:$A$23</c:f>
              <c:numCache>
                <c:formatCode>0.00</c:formatCode>
                <c:ptCount val="16"/>
                <c:pt idx="0">
                  <c:v>0.89836535790177097</c:v>
                </c:pt>
                <c:pt idx="1">
                  <c:v>0.99891987475502897</c:v>
                </c:pt>
                <c:pt idx="2">
                  <c:v>1.0994616268330499</c:v>
                </c:pt>
                <c:pt idx="3">
                  <c:v>1.19799930920039</c:v>
                </c:pt>
                <c:pt idx="4">
                  <c:v>1.2984166047199599</c:v>
                </c:pt>
                <c:pt idx="5">
                  <c:v>1.4006464983218001</c:v>
                </c:pt>
                <c:pt idx="6">
                  <c:v>1.49651315147282</c:v>
                </c:pt>
                <c:pt idx="7">
                  <c:v>1.5494901598600299</c:v>
                </c:pt>
                <c:pt idx="8">
                  <c:v>1.59700065325614</c:v>
                </c:pt>
                <c:pt idx="9">
                  <c:v>1.69854444018951</c:v>
                </c:pt>
                <c:pt idx="10">
                  <c:v>1.7974778305889001</c:v>
                </c:pt>
                <c:pt idx="11">
                  <c:v>1.9001864032617699</c:v>
                </c:pt>
                <c:pt idx="12">
                  <c:v>2.00281519608947</c:v>
                </c:pt>
                <c:pt idx="13">
                  <c:v>2.0995083684364602</c:v>
                </c:pt>
                <c:pt idx="14">
                  <c:v>2.2001330915534698</c:v>
                </c:pt>
                <c:pt idx="15">
                  <c:v>2.3007354763138301</c:v>
                </c:pt>
              </c:numCache>
            </c:numRef>
          </c:xVal>
          <c:yVal>
            <c:numRef>
              <c:f>KIM!$B$8:$B$23</c:f>
              <c:numCache>
                <c:formatCode>General</c:formatCode>
                <c:ptCount val="16"/>
                <c:pt idx="0">
                  <c:v>1.84466019417475</c:v>
                </c:pt>
                <c:pt idx="1">
                  <c:v>2.0388349514563102</c:v>
                </c:pt>
                <c:pt idx="2">
                  <c:v>2.33009708737863</c:v>
                </c:pt>
                <c:pt idx="3">
                  <c:v>2.86407766990291</c:v>
                </c:pt>
                <c:pt idx="4">
                  <c:v>4.1019417475728099</c:v>
                </c:pt>
                <c:pt idx="5">
                  <c:v>6.5533980582524203</c:v>
                </c:pt>
                <c:pt idx="6">
                  <c:v>12.402912621359199</c:v>
                </c:pt>
                <c:pt idx="7">
                  <c:v>14.4660194174757</c:v>
                </c:pt>
                <c:pt idx="8">
                  <c:v>13.1067961165048</c:v>
                </c:pt>
                <c:pt idx="9">
                  <c:v>5.7766990291262097</c:v>
                </c:pt>
                <c:pt idx="10">
                  <c:v>3.3009708737864001</c:v>
                </c:pt>
                <c:pt idx="11">
                  <c:v>2.1116504854368898</c:v>
                </c:pt>
                <c:pt idx="12">
                  <c:v>1.5291262135922301</c:v>
                </c:pt>
                <c:pt idx="13">
                  <c:v>1.0922330097087301</c:v>
                </c:pt>
                <c:pt idx="14">
                  <c:v>0.75242718446602197</c:v>
                </c:pt>
                <c:pt idx="15">
                  <c:v>0.58252427184466105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KIM!$H$6</c:f>
              <c:strCache>
                <c:ptCount val="1"/>
                <c:pt idx="0">
                  <c:v>SMOOTH</c:v>
                </c:pt>
              </c:strCache>
            </c:strRef>
          </c:tx>
          <c:xVal>
            <c:numRef>
              <c:f>KIM!$H$8:$H$23</c:f>
              <c:numCache>
                <c:formatCode>0.00</c:formatCode>
                <c:ptCount val="16"/>
                <c:pt idx="0">
                  <c:v>0.89818345985478198</c:v>
                </c:pt>
                <c:pt idx="1">
                  <c:v>0.99853693149820899</c:v>
                </c:pt>
                <c:pt idx="2">
                  <c:v>1.09704270192748</c:v>
                </c:pt>
                <c:pt idx="3">
                  <c:v>1.1998119072826701</c:v>
                </c:pt>
                <c:pt idx="4">
                  <c:v>1.29661677141291</c:v>
                </c:pt>
                <c:pt idx="5">
                  <c:v>1.39731170079366</c:v>
                </c:pt>
                <c:pt idx="6">
                  <c:v>1.49795557107351</c:v>
                </c:pt>
                <c:pt idx="7">
                  <c:v>1.54727228016429</c:v>
                </c:pt>
                <c:pt idx="8">
                  <c:v>1.5965857980612499</c:v>
                </c:pt>
                <c:pt idx="9">
                  <c:v>1.6971626532711599</c:v>
                </c:pt>
                <c:pt idx="10">
                  <c:v>1.79772036131822</c:v>
                </c:pt>
                <c:pt idx="11">
                  <c:v>1.90027256549456</c:v>
                </c:pt>
                <c:pt idx="12">
                  <c:v>1.9988932189008699</c:v>
                </c:pt>
                <c:pt idx="13">
                  <c:v>2.1014613790462402</c:v>
                </c:pt>
                <c:pt idx="14">
                  <c:v>2.1981226394551601</c:v>
                </c:pt>
                <c:pt idx="15">
                  <c:v>2.2987314066031401</c:v>
                </c:pt>
              </c:numCache>
            </c:numRef>
          </c:xVal>
          <c:yVal>
            <c:numRef>
              <c:f>KIM!$I$8:$I$23</c:f>
              <c:numCache>
                <c:formatCode>General</c:formatCode>
                <c:ptCount val="16"/>
                <c:pt idx="0">
                  <c:v>3.22815533980582</c:v>
                </c:pt>
                <c:pt idx="1">
                  <c:v>4.9514563106796103</c:v>
                </c:pt>
                <c:pt idx="2">
                  <c:v>5.72815533980582</c:v>
                </c:pt>
                <c:pt idx="3">
                  <c:v>4.0776699029126204</c:v>
                </c:pt>
                <c:pt idx="4">
                  <c:v>2.79126213592233</c:v>
                </c:pt>
                <c:pt idx="5">
                  <c:v>1.9174757281553401</c:v>
                </c:pt>
                <c:pt idx="6">
                  <c:v>1.4320388349514499</c:v>
                </c:pt>
                <c:pt idx="7">
                  <c:v>1.3349514563106799</c:v>
                </c:pt>
                <c:pt idx="8">
                  <c:v>1.2621359223300901</c:v>
                </c:pt>
                <c:pt idx="9">
                  <c:v>1.28640776699029</c:v>
                </c:pt>
                <c:pt idx="10">
                  <c:v>1.4563106796116501</c:v>
                </c:pt>
                <c:pt idx="11">
                  <c:v>1.4563106796116501</c:v>
                </c:pt>
                <c:pt idx="12">
                  <c:v>1.3592233009708701</c:v>
                </c:pt>
                <c:pt idx="13">
                  <c:v>1.2378640776698999</c:v>
                </c:pt>
                <c:pt idx="14">
                  <c:v>1.0436893203883399</c:v>
                </c:pt>
                <c:pt idx="15">
                  <c:v>0.82524271844660202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KIM!$O$6</c:f>
              <c:strCache>
                <c:ptCount val="1"/>
                <c:pt idx="0">
                  <c:v>PILLARS</c:v>
                </c:pt>
              </c:strCache>
            </c:strRef>
          </c:tx>
          <c:xVal>
            <c:numRef>
              <c:f>KIM!$O$8:$O$22</c:f>
              <c:numCache>
                <c:formatCode>0.00</c:formatCode>
                <c:ptCount val="15"/>
                <c:pt idx="0">
                  <c:v>0.89816431269194097</c:v>
                </c:pt>
                <c:pt idx="1">
                  <c:v>0.99849544597871998</c:v>
                </c:pt>
                <c:pt idx="2">
                  <c:v>1.0991074043205</c:v>
                </c:pt>
                <c:pt idx="3">
                  <c:v>1.19788123502954</c:v>
                </c:pt>
                <c:pt idx="4">
                  <c:v>1.29860488515456</c:v>
                </c:pt>
                <c:pt idx="5">
                  <c:v>1.39731170079366</c:v>
                </c:pt>
                <c:pt idx="6">
                  <c:v>1.49794280629829</c:v>
                </c:pt>
                <c:pt idx="7">
                  <c:v>1.5985260438958</c:v>
                </c:pt>
                <c:pt idx="8">
                  <c:v>1.6990997079118999</c:v>
                </c:pt>
                <c:pt idx="9">
                  <c:v>1.79965741595897</c:v>
                </c:pt>
                <c:pt idx="10">
                  <c:v>1.9002470359440999</c:v>
                </c:pt>
                <c:pt idx="11">
                  <c:v>2.0008430383168498</c:v>
                </c:pt>
                <c:pt idx="12">
                  <c:v>2.0994828388860101</c:v>
                </c:pt>
                <c:pt idx="13">
                  <c:v>2.20009479722779</c:v>
                </c:pt>
                <c:pt idx="14">
                  <c:v>2.29873459779694</c:v>
                </c:pt>
              </c:numCache>
            </c:numRef>
          </c:xVal>
          <c:yVal>
            <c:numRef>
              <c:f>KIM!$P$8:$P$22</c:f>
              <c:numCache>
                <c:formatCode>General</c:formatCode>
                <c:ptCount val="15"/>
                <c:pt idx="0">
                  <c:v>3.3737864077669899</c:v>
                </c:pt>
                <c:pt idx="1">
                  <c:v>5.2669902912621298</c:v>
                </c:pt>
                <c:pt idx="2">
                  <c:v>5.0242718446601904</c:v>
                </c:pt>
                <c:pt idx="3">
                  <c:v>3.7621359223300899</c:v>
                </c:pt>
                <c:pt idx="4">
                  <c:v>2.6699029126213598</c:v>
                </c:pt>
                <c:pt idx="5">
                  <c:v>1.9174757281553401</c:v>
                </c:pt>
                <c:pt idx="6">
                  <c:v>1.5291262135922301</c:v>
                </c:pt>
                <c:pt idx="7">
                  <c:v>1.5048543689320399</c:v>
                </c:pt>
                <c:pt idx="8">
                  <c:v>1.5533980582524201</c:v>
                </c:pt>
                <c:pt idx="9">
                  <c:v>1.7233009708737801</c:v>
                </c:pt>
                <c:pt idx="10">
                  <c:v>1.6504854368932</c:v>
                </c:pt>
                <c:pt idx="11">
                  <c:v>1.5291262135922301</c:v>
                </c:pt>
                <c:pt idx="12">
                  <c:v>1.28640776699029</c:v>
                </c:pt>
                <c:pt idx="13">
                  <c:v>1.0436893203883399</c:v>
                </c:pt>
                <c:pt idx="14">
                  <c:v>0.80097087378640797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KIM!$C$44</c:f>
              <c:strCache>
                <c:ptCount val="1"/>
                <c:pt idx="0">
                  <c:v>PRESENT WORK no ART</c:v>
                </c:pt>
              </c:strCache>
            </c:strRef>
          </c:tx>
          <c:xVal>
            <c:numRef>
              <c:f>KIM!$E$46:$E$67</c:f>
              <c:numCache>
                <c:formatCode>General</c:formatCode>
                <c:ptCount val="22"/>
                <c:pt idx="0">
                  <c:v>0.80596493372694822</c:v>
                </c:pt>
                <c:pt idx="1">
                  <c:v>0.8792354039121848</c:v>
                </c:pt>
                <c:pt idx="2">
                  <c:v>0.95249947517968137</c:v>
                </c:pt>
                <c:pt idx="3">
                  <c:v>1.0257702943856115</c:v>
                </c:pt>
                <c:pt idx="4">
                  <c:v>1.099042509724566</c:v>
                </c:pt>
                <c:pt idx="5">
                  <c:v>1.1723113898708366</c:v>
                </c:pt>
                <c:pt idx="6">
                  <c:v>1.2455815110211748</c:v>
                </c:pt>
                <c:pt idx="7">
                  <c:v>1.3188489174773321</c:v>
                </c:pt>
                <c:pt idx="8">
                  <c:v>1.3921188175727701</c:v>
                </c:pt>
                <c:pt idx="9">
                  <c:v>1.4653876860859245</c:v>
                </c:pt>
                <c:pt idx="10">
                  <c:v>1.5386565817463176</c:v>
                </c:pt>
                <c:pt idx="11">
                  <c:v>1.6119261134193741</c:v>
                </c:pt>
                <c:pt idx="12">
                  <c:v>1.6851956606049696</c:v>
                </c:pt>
                <c:pt idx="13">
                  <c:v>1.758466340204524</c:v>
                </c:pt>
                <c:pt idx="14">
                  <c:v>1.831735092373465</c:v>
                </c:pt>
                <c:pt idx="15">
                  <c:v>1.9050041935743505</c:v>
                </c:pt>
                <c:pt idx="16">
                  <c:v>1.9782733762159985</c:v>
                </c:pt>
                <c:pt idx="17">
                  <c:v>2.0515436292212108</c:v>
                </c:pt>
                <c:pt idx="18">
                  <c:v>2.1248123697560066</c:v>
                </c:pt>
                <c:pt idx="19">
                  <c:v>2.1980815291288871</c:v>
                </c:pt>
                <c:pt idx="20">
                  <c:v>2.2713507932112389</c:v>
                </c:pt>
                <c:pt idx="21">
                  <c:v>2.3446188085374855</c:v>
                </c:pt>
              </c:numCache>
            </c:numRef>
          </c:xVal>
          <c:yVal>
            <c:numRef>
              <c:f>KIM!$G$46:$G$67</c:f>
              <c:numCache>
                <c:formatCode>General</c:formatCode>
                <c:ptCount val="22"/>
                <c:pt idx="0">
                  <c:v>1.8342808756613573</c:v>
                </c:pt>
                <c:pt idx="1">
                  <c:v>1.921330579694976</c:v>
                </c:pt>
                <c:pt idx="2">
                  <c:v>2.1076207344547235</c:v>
                </c:pt>
                <c:pt idx="3">
                  <c:v>2.2591782806711174</c:v>
                </c:pt>
                <c:pt idx="4">
                  <c:v>2.5648721818229001</c:v>
                </c:pt>
                <c:pt idx="5">
                  <c:v>2.9258877154098313</c:v>
                </c:pt>
                <c:pt idx="6">
                  <c:v>3.4569723734693238</c:v>
                </c:pt>
                <c:pt idx="7">
                  <c:v>4.3906785871180682</c:v>
                </c:pt>
                <c:pt idx="8">
                  <c:v>6.0484115026223506</c:v>
                </c:pt>
                <c:pt idx="9">
                  <c:v>9.4196711067919718</c:v>
                </c:pt>
                <c:pt idx="10">
                  <c:v>14.824499252385966</c:v>
                </c:pt>
                <c:pt idx="11">
                  <c:v>9.6269920153468984</c:v>
                </c:pt>
                <c:pt idx="12">
                  <c:v>5.4501710799224288</c:v>
                </c:pt>
                <c:pt idx="13">
                  <c:v>3.5875531981150672</c:v>
                </c:pt>
                <c:pt idx="14">
                  <c:v>2.559389992028327</c:v>
                </c:pt>
                <c:pt idx="15">
                  <c:v>1.9563383508377041</c:v>
                </c:pt>
                <c:pt idx="16">
                  <c:v>1.5249966772682884</c:v>
                </c:pt>
                <c:pt idx="17">
                  <c:v>1.21658822653457</c:v>
                </c:pt>
                <c:pt idx="18">
                  <c:v>0.98406687978098317</c:v>
                </c:pt>
                <c:pt idx="19">
                  <c:v>0.8151406243448398</c:v>
                </c:pt>
                <c:pt idx="20">
                  <c:v>0.66984158818041029</c:v>
                </c:pt>
                <c:pt idx="21">
                  <c:v>0.56656399120589374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KIM!$O$44</c:f>
              <c:strCache>
                <c:ptCount val="1"/>
                <c:pt idx="0">
                  <c:v>PRESENT WORK with ART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KIM!$O$46:$O$61</c:f>
              <c:numCache>
                <c:formatCode>0.00</c:formatCode>
                <c:ptCount val="16"/>
                <c:pt idx="0">
                  <c:v>0.9</c:v>
                </c:pt>
                <c:pt idx="1">
                  <c:v>1</c:v>
                </c:pt>
                <c:pt idx="2">
                  <c:v>1.1000000000000001</c:v>
                </c:pt>
                <c:pt idx="3">
                  <c:v>1.2</c:v>
                </c:pt>
                <c:pt idx="4">
                  <c:v>1.3</c:v>
                </c:pt>
                <c:pt idx="5">
                  <c:v>1.4</c:v>
                </c:pt>
                <c:pt idx="6">
                  <c:v>1.5</c:v>
                </c:pt>
                <c:pt idx="7">
                  <c:v>1.55</c:v>
                </c:pt>
                <c:pt idx="8">
                  <c:v>1.6</c:v>
                </c:pt>
                <c:pt idx="9">
                  <c:v>1.7</c:v>
                </c:pt>
                <c:pt idx="10">
                  <c:v>1.8</c:v>
                </c:pt>
                <c:pt idx="11">
                  <c:v>1.9</c:v>
                </c:pt>
                <c:pt idx="12">
                  <c:v>2</c:v>
                </c:pt>
                <c:pt idx="13">
                  <c:v>2.1</c:v>
                </c:pt>
                <c:pt idx="14">
                  <c:v>2.2000000000000002</c:v>
                </c:pt>
                <c:pt idx="15">
                  <c:v>2.2999999999999998</c:v>
                </c:pt>
              </c:numCache>
            </c:numRef>
          </c:xVal>
          <c:yVal>
            <c:numRef>
              <c:f>KIM!$U$46:$U$61</c:f>
              <c:numCache>
                <c:formatCode>General</c:formatCode>
                <c:ptCount val="16"/>
                <c:pt idx="1">
                  <c:v>3.9999999999999987</c:v>
                </c:pt>
                <c:pt idx="2">
                  <c:v>5.2231404958677672</c:v>
                </c:pt>
                <c:pt idx="3">
                  <c:v>7.6388888888888866</c:v>
                </c:pt>
                <c:pt idx="4">
                  <c:v>5.7988165680473349</c:v>
                </c:pt>
                <c:pt idx="5">
                  <c:v>3.408163265306122</c:v>
                </c:pt>
                <c:pt idx="6">
                  <c:v>2.1066666666666665</c:v>
                </c:pt>
                <c:pt idx="7">
                  <c:v>1.7481789802289278</c:v>
                </c:pt>
                <c:pt idx="8">
                  <c:v>1.5312499999999991</c:v>
                </c:pt>
                <c:pt idx="9">
                  <c:v>1.3577854671280272</c:v>
                </c:pt>
                <c:pt idx="10">
                  <c:v>1.4382716049382713</c:v>
                </c:pt>
                <c:pt idx="11">
                  <c:v>1.4515235457063711</c:v>
                </c:pt>
                <c:pt idx="12">
                  <c:v>1.6499999999999997</c:v>
                </c:pt>
                <c:pt idx="13">
                  <c:v>1.6553287981859404</c:v>
                </c:pt>
                <c:pt idx="14">
                  <c:v>0.99173553719008223</c:v>
                </c:pt>
                <c:pt idx="15">
                  <c:v>6.8052930056710759E-2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011296"/>
        <c:axId val="403010752"/>
      </c:scatterChart>
      <c:valAx>
        <c:axId val="403011296"/>
        <c:scaling>
          <c:orientation val="minMax"/>
          <c:max val="2.4"/>
          <c:min val="0.9"/>
        </c:scaling>
        <c:delete val="0"/>
        <c:axPos val="b"/>
        <c:numFmt formatCode="0.00" sourceLinked="1"/>
        <c:majorTickMark val="out"/>
        <c:minorTickMark val="none"/>
        <c:tickLblPos val="nextTo"/>
        <c:crossAx val="403010752"/>
        <c:crosses val="autoZero"/>
        <c:crossBetween val="midCat"/>
      </c:valAx>
      <c:valAx>
        <c:axId val="403010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30112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915167801317E-2"/>
          <c:y val="2.2429332697049234E-2"/>
          <c:w val="0.94023022045431648"/>
          <c:h val="0.9269612662053606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KIM!$A$6</c:f>
              <c:strCache>
                <c:ptCount val="1"/>
                <c:pt idx="0">
                  <c:v>NO ART</c:v>
                </c:pt>
              </c:strCache>
            </c:strRef>
          </c:tx>
          <c:xVal>
            <c:numRef>
              <c:f>KIM!$F$8:$F$23</c:f>
              <c:numCache>
                <c:formatCode>General</c:formatCode>
                <c:ptCount val="16"/>
                <c:pt idx="0">
                  <c:v>0.57959055348501354</c:v>
                </c:pt>
                <c:pt idx="1">
                  <c:v>0.64446443532582509</c:v>
                </c:pt>
                <c:pt idx="2">
                  <c:v>0.70933008182777413</c:v>
                </c:pt>
                <c:pt idx="3">
                  <c:v>0.77290278012928382</c:v>
                </c:pt>
                <c:pt idx="4">
                  <c:v>0.83768813207739345</c:v>
                </c:pt>
                <c:pt idx="5">
                  <c:v>0.90364290214309684</c:v>
                </c:pt>
                <c:pt idx="6">
                  <c:v>0.96549235578891612</c:v>
                </c:pt>
                <c:pt idx="7">
                  <c:v>0.99967107087743867</c:v>
                </c:pt>
                <c:pt idx="8">
                  <c:v>1.0303230021007355</c:v>
                </c:pt>
                <c:pt idx="9">
                  <c:v>1.0958351227029097</c:v>
                </c:pt>
                <c:pt idx="10">
                  <c:v>1.1596631165089677</c:v>
                </c:pt>
                <c:pt idx="11">
                  <c:v>1.2259267117817869</c:v>
                </c:pt>
                <c:pt idx="12">
                  <c:v>1.2921388361867547</c:v>
                </c:pt>
                <c:pt idx="13">
                  <c:v>1.3545215280235225</c:v>
                </c:pt>
                <c:pt idx="14">
                  <c:v>1.419440704228045</c:v>
                </c:pt>
                <c:pt idx="15">
                  <c:v>1.4843454685895678</c:v>
                </c:pt>
              </c:numCache>
            </c:numRef>
          </c:xVal>
          <c:yVal>
            <c:numRef>
              <c:f>KIM!$B$8:$B$23</c:f>
              <c:numCache>
                <c:formatCode>General</c:formatCode>
                <c:ptCount val="16"/>
                <c:pt idx="0">
                  <c:v>1.84466019417475</c:v>
                </c:pt>
                <c:pt idx="1">
                  <c:v>2.0388349514563102</c:v>
                </c:pt>
                <c:pt idx="2">
                  <c:v>2.33009708737863</c:v>
                </c:pt>
                <c:pt idx="3">
                  <c:v>2.86407766990291</c:v>
                </c:pt>
                <c:pt idx="4">
                  <c:v>4.1019417475728099</c:v>
                </c:pt>
                <c:pt idx="5">
                  <c:v>6.5533980582524203</c:v>
                </c:pt>
                <c:pt idx="6">
                  <c:v>12.402912621359199</c:v>
                </c:pt>
                <c:pt idx="7">
                  <c:v>14.4660194174757</c:v>
                </c:pt>
                <c:pt idx="8">
                  <c:v>13.1067961165048</c:v>
                </c:pt>
                <c:pt idx="9">
                  <c:v>5.7766990291262097</c:v>
                </c:pt>
                <c:pt idx="10">
                  <c:v>3.3009708737864001</c:v>
                </c:pt>
                <c:pt idx="11">
                  <c:v>2.1116504854368898</c:v>
                </c:pt>
                <c:pt idx="12">
                  <c:v>1.5291262135922301</c:v>
                </c:pt>
                <c:pt idx="13">
                  <c:v>1.0922330097087301</c:v>
                </c:pt>
                <c:pt idx="14">
                  <c:v>0.75242718446602197</c:v>
                </c:pt>
                <c:pt idx="15">
                  <c:v>0.58252427184466105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KIM!$H$6</c:f>
              <c:strCache>
                <c:ptCount val="1"/>
                <c:pt idx="0">
                  <c:v>SMOOTH</c:v>
                </c:pt>
              </c:strCache>
            </c:strRef>
          </c:tx>
          <c:xVal>
            <c:numRef>
              <c:f>KIM!$F$8:$F$23</c:f>
              <c:numCache>
                <c:formatCode>General</c:formatCode>
                <c:ptCount val="16"/>
                <c:pt idx="0">
                  <c:v>0.57959055348501354</c:v>
                </c:pt>
                <c:pt idx="1">
                  <c:v>0.64446443532582509</c:v>
                </c:pt>
                <c:pt idx="2">
                  <c:v>0.70933008182777413</c:v>
                </c:pt>
                <c:pt idx="3">
                  <c:v>0.77290278012928382</c:v>
                </c:pt>
                <c:pt idx="4">
                  <c:v>0.83768813207739345</c:v>
                </c:pt>
                <c:pt idx="5">
                  <c:v>0.90364290214309684</c:v>
                </c:pt>
                <c:pt idx="6">
                  <c:v>0.96549235578891612</c:v>
                </c:pt>
                <c:pt idx="7">
                  <c:v>0.99967107087743867</c:v>
                </c:pt>
                <c:pt idx="8">
                  <c:v>1.0303230021007355</c:v>
                </c:pt>
                <c:pt idx="9">
                  <c:v>1.0958351227029097</c:v>
                </c:pt>
                <c:pt idx="10">
                  <c:v>1.1596631165089677</c:v>
                </c:pt>
                <c:pt idx="11">
                  <c:v>1.2259267117817869</c:v>
                </c:pt>
                <c:pt idx="12">
                  <c:v>1.2921388361867547</c:v>
                </c:pt>
                <c:pt idx="13">
                  <c:v>1.3545215280235225</c:v>
                </c:pt>
                <c:pt idx="14">
                  <c:v>1.419440704228045</c:v>
                </c:pt>
                <c:pt idx="15">
                  <c:v>1.4843454685895678</c:v>
                </c:pt>
              </c:numCache>
            </c:numRef>
          </c:xVal>
          <c:yVal>
            <c:numRef>
              <c:f>KIM!$I$8:$I$23</c:f>
              <c:numCache>
                <c:formatCode>General</c:formatCode>
                <c:ptCount val="16"/>
                <c:pt idx="0">
                  <c:v>3.22815533980582</c:v>
                </c:pt>
                <c:pt idx="1">
                  <c:v>4.9514563106796103</c:v>
                </c:pt>
                <c:pt idx="2">
                  <c:v>5.72815533980582</c:v>
                </c:pt>
                <c:pt idx="3">
                  <c:v>4.0776699029126204</c:v>
                </c:pt>
                <c:pt idx="4">
                  <c:v>2.79126213592233</c:v>
                </c:pt>
                <c:pt idx="5">
                  <c:v>1.9174757281553401</c:v>
                </c:pt>
                <c:pt idx="6">
                  <c:v>1.4320388349514499</c:v>
                </c:pt>
                <c:pt idx="7">
                  <c:v>1.3349514563106799</c:v>
                </c:pt>
                <c:pt idx="8">
                  <c:v>1.2621359223300901</c:v>
                </c:pt>
                <c:pt idx="9">
                  <c:v>1.28640776699029</c:v>
                </c:pt>
                <c:pt idx="10">
                  <c:v>1.4563106796116501</c:v>
                </c:pt>
                <c:pt idx="11">
                  <c:v>1.4563106796116501</c:v>
                </c:pt>
                <c:pt idx="12">
                  <c:v>1.3592233009708701</c:v>
                </c:pt>
                <c:pt idx="13">
                  <c:v>1.2378640776698999</c:v>
                </c:pt>
                <c:pt idx="14">
                  <c:v>1.0436893203883399</c:v>
                </c:pt>
                <c:pt idx="15">
                  <c:v>0.82524271844660202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KIM!$O$6</c:f>
              <c:strCache>
                <c:ptCount val="1"/>
                <c:pt idx="0">
                  <c:v>PILLARS</c:v>
                </c:pt>
              </c:strCache>
            </c:strRef>
          </c:tx>
          <c:xVal>
            <c:numRef>
              <c:f>KIM!$N$8:$N$22</c:f>
              <c:numCache>
                <c:formatCode>General</c:formatCode>
                <c:ptCount val="15"/>
                <c:pt idx="0">
                  <c:v>0.57946084689802646</c:v>
                </c:pt>
                <c:pt idx="1">
                  <c:v>0.64419061030885161</c:v>
                </c:pt>
                <c:pt idx="2">
                  <c:v>0.70910155117451612</c:v>
                </c:pt>
                <c:pt idx="3">
                  <c:v>0.77282660324486452</c:v>
                </c:pt>
                <c:pt idx="4">
                  <c:v>0.83780960332552257</c:v>
                </c:pt>
                <c:pt idx="5">
                  <c:v>0.90149141986687742</c:v>
                </c:pt>
                <c:pt idx="6">
                  <c:v>0.96641471374083221</c:v>
                </c:pt>
                <c:pt idx="7">
                  <c:v>1.0313071250940644</c:v>
                </c:pt>
                <c:pt idx="8">
                  <c:v>1.0961933599431612</c:v>
                </c:pt>
                <c:pt idx="9">
                  <c:v>1.1610693006186903</c:v>
                </c:pt>
                <c:pt idx="10">
                  <c:v>1.2259658296413547</c:v>
                </c:pt>
                <c:pt idx="11">
                  <c:v>1.2908664763334514</c:v>
                </c:pt>
                <c:pt idx="12">
                  <c:v>1.3545050573458128</c:v>
                </c:pt>
                <c:pt idx="13">
                  <c:v>1.4194159982114773</c:v>
                </c:pt>
                <c:pt idx="14">
                  <c:v>1.4830545792238323</c:v>
                </c:pt>
              </c:numCache>
            </c:numRef>
          </c:xVal>
          <c:yVal>
            <c:numRef>
              <c:f>KIM!$P$8:$P$22</c:f>
              <c:numCache>
                <c:formatCode>General</c:formatCode>
                <c:ptCount val="15"/>
                <c:pt idx="0">
                  <c:v>3.3737864077669899</c:v>
                </c:pt>
                <c:pt idx="1">
                  <c:v>5.2669902912621298</c:v>
                </c:pt>
                <c:pt idx="2">
                  <c:v>5.0242718446601904</c:v>
                </c:pt>
                <c:pt idx="3">
                  <c:v>3.7621359223300899</c:v>
                </c:pt>
                <c:pt idx="4">
                  <c:v>2.6699029126213598</c:v>
                </c:pt>
                <c:pt idx="5">
                  <c:v>1.9174757281553401</c:v>
                </c:pt>
                <c:pt idx="6">
                  <c:v>1.5291262135922301</c:v>
                </c:pt>
                <c:pt idx="7">
                  <c:v>1.5048543689320399</c:v>
                </c:pt>
                <c:pt idx="8">
                  <c:v>1.5533980582524201</c:v>
                </c:pt>
                <c:pt idx="9">
                  <c:v>1.7233009708737801</c:v>
                </c:pt>
                <c:pt idx="10">
                  <c:v>1.6504854368932</c:v>
                </c:pt>
                <c:pt idx="11">
                  <c:v>1.5291262135922301</c:v>
                </c:pt>
                <c:pt idx="12">
                  <c:v>1.28640776699029</c:v>
                </c:pt>
                <c:pt idx="13">
                  <c:v>1.0436893203883399</c:v>
                </c:pt>
                <c:pt idx="14">
                  <c:v>0.80097087378640797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KIM!$C$44</c:f>
              <c:strCache>
                <c:ptCount val="1"/>
                <c:pt idx="0">
                  <c:v>PRESENT WORK no ART</c:v>
                </c:pt>
              </c:strCache>
            </c:strRef>
          </c:tx>
          <c:xVal>
            <c:numRef>
              <c:f>KIM!$F$46:$F$67</c:f>
              <c:numCache>
                <c:formatCode>General</c:formatCode>
                <c:ptCount val="22"/>
                <c:pt idx="0">
                  <c:v>0.51997737659803112</c:v>
                </c:pt>
                <c:pt idx="1">
                  <c:v>0.56724864768528049</c:v>
                </c:pt>
                <c:pt idx="2">
                  <c:v>0.61451579043850413</c:v>
                </c:pt>
                <c:pt idx="3">
                  <c:v>0.66178728670039455</c:v>
                </c:pt>
                <c:pt idx="4">
                  <c:v>0.70905968369326833</c:v>
                </c:pt>
                <c:pt idx="5">
                  <c:v>0.75632992894892681</c:v>
                </c:pt>
                <c:pt idx="6">
                  <c:v>0.80360097485237081</c:v>
                </c:pt>
                <c:pt idx="7">
                  <c:v>0.85087026934021426</c:v>
                </c:pt>
                <c:pt idx="8">
                  <c:v>0.89814117262759363</c:v>
                </c:pt>
                <c:pt idx="9">
                  <c:v>0.94541141037801579</c:v>
                </c:pt>
                <c:pt idx="10">
                  <c:v>0.99268166564278548</c:v>
                </c:pt>
                <c:pt idx="11">
                  <c:v>1.0399523312383059</c:v>
                </c:pt>
                <c:pt idx="12">
                  <c:v>1.0872230068419158</c:v>
                </c:pt>
                <c:pt idx="13">
                  <c:v>1.1344944130351766</c:v>
                </c:pt>
                <c:pt idx="14">
                  <c:v>1.1817645757248161</c:v>
                </c:pt>
                <c:pt idx="15">
                  <c:v>1.2290349635963551</c:v>
                </c:pt>
                <c:pt idx="16">
                  <c:v>1.2763054040103217</c:v>
                </c:pt>
                <c:pt idx="17">
                  <c:v>1.3235765349814264</c:v>
                </c:pt>
                <c:pt idx="18">
                  <c:v>1.3708466901651655</c:v>
                </c:pt>
                <c:pt idx="19">
                  <c:v>1.4181171155670238</c:v>
                </c:pt>
                <c:pt idx="20">
                  <c:v>1.4653876085233799</c:v>
                </c:pt>
                <c:pt idx="21">
                  <c:v>1.5126572958306357</c:v>
                </c:pt>
              </c:numCache>
            </c:numRef>
          </c:xVal>
          <c:yVal>
            <c:numRef>
              <c:f>KIM!$G$46:$G$67</c:f>
              <c:numCache>
                <c:formatCode>General</c:formatCode>
                <c:ptCount val="22"/>
                <c:pt idx="0">
                  <c:v>1.8342808756613573</c:v>
                </c:pt>
                <c:pt idx="1">
                  <c:v>1.921330579694976</c:v>
                </c:pt>
                <c:pt idx="2">
                  <c:v>2.1076207344547235</c:v>
                </c:pt>
                <c:pt idx="3">
                  <c:v>2.2591782806711174</c:v>
                </c:pt>
                <c:pt idx="4">
                  <c:v>2.5648721818229001</c:v>
                </c:pt>
                <c:pt idx="5">
                  <c:v>2.9258877154098313</c:v>
                </c:pt>
                <c:pt idx="6">
                  <c:v>3.4569723734693238</c:v>
                </c:pt>
                <c:pt idx="7">
                  <c:v>4.3906785871180682</c:v>
                </c:pt>
                <c:pt idx="8">
                  <c:v>6.0484115026223506</c:v>
                </c:pt>
                <c:pt idx="9">
                  <c:v>9.4196711067919718</c:v>
                </c:pt>
                <c:pt idx="10">
                  <c:v>14.824499252385966</c:v>
                </c:pt>
                <c:pt idx="11">
                  <c:v>9.6269920153468984</c:v>
                </c:pt>
                <c:pt idx="12">
                  <c:v>5.4501710799224288</c:v>
                </c:pt>
                <c:pt idx="13">
                  <c:v>3.5875531981150672</c:v>
                </c:pt>
                <c:pt idx="14">
                  <c:v>2.559389992028327</c:v>
                </c:pt>
                <c:pt idx="15">
                  <c:v>1.9563383508377041</c:v>
                </c:pt>
                <c:pt idx="16">
                  <c:v>1.5249966772682884</c:v>
                </c:pt>
                <c:pt idx="17">
                  <c:v>1.21658822653457</c:v>
                </c:pt>
                <c:pt idx="18">
                  <c:v>0.98406687978098317</c:v>
                </c:pt>
                <c:pt idx="19">
                  <c:v>0.8151406243448398</c:v>
                </c:pt>
                <c:pt idx="20">
                  <c:v>0.66984158818041029</c:v>
                </c:pt>
                <c:pt idx="21">
                  <c:v>0.56656399120589374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KIM!$O$44</c:f>
              <c:strCache>
                <c:ptCount val="1"/>
                <c:pt idx="0">
                  <c:v>PRESENT WORK with ART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KIM!$W$46:$W$61</c:f>
              <c:numCache>
                <c:formatCode>General</c:formatCode>
                <c:ptCount val="16"/>
                <c:pt idx="0">
                  <c:v>0.58064516129032262</c:v>
                </c:pt>
                <c:pt idx="1">
                  <c:v>0.64516129032258063</c:v>
                </c:pt>
                <c:pt idx="2">
                  <c:v>0.70967741935483875</c:v>
                </c:pt>
                <c:pt idx="3">
                  <c:v>0.77419354838709675</c:v>
                </c:pt>
                <c:pt idx="4">
                  <c:v>0.83870967741935487</c:v>
                </c:pt>
                <c:pt idx="5">
                  <c:v>0.90322580645161277</c:v>
                </c:pt>
                <c:pt idx="6">
                  <c:v>0.96774193548387089</c:v>
                </c:pt>
                <c:pt idx="7">
                  <c:v>1</c:v>
                </c:pt>
                <c:pt idx="8">
                  <c:v>1.032258064516129</c:v>
                </c:pt>
                <c:pt idx="9">
                  <c:v>1.096774193548387</c:v>
                </c:pt>
                <c:pt idx="10">
                  <c:v>1.1612903225806452</c:v>
                </c:pt>
                <c:pt idx="11">
                  <c:v>1.225806451612903</c:v>
                </c:pt>
                <c:pt idx="12">
                  <c:v>1.2903225806451613</c:v>
                </c:pt>
                <c:pt idx="13">
                  <c:v>1.3548387096774195</c:v>
                </c:pt>
                <c:pt idx="14">
                  <c:v>1.4193548387096775</c:v>
                </c:pt>
                <c:pt idx="15">
                  <c:v>1.4838709677419353</c:v>
                </c:pt>
              </c:numCache>
            </c:numRef>
          </c:xVal>
          <c:yVal>
            <c:numRef>
              <c:f>KIM!$U$46:$U$61</c:f>
              <c:numCache>
                <c:formatCode>General</c:formatCode>
                <c:ptCount val="16"/>
                <c:pt idx="1">
                  <c:v>3.9999999999999987</c:v>
                </c:pt>
                <c:pt idx="2">
                  <c:v>5.2231404958677672</c:v>
                </c:pt>
                <c:pt idx="3">
                  <c:v>7.6388888888888866</c:v>
                </c:pt>
                <c:pt idx="4">
                  <c:v>5.7988165680473349</c:v>
                </c:pt>
                <c:pt idx="5">
                  <c:v>3.408163265306122</c:v>
                </c:pt>
                <c:pt idx="6">
                  <c:v>2.1066666666666665</c:v>
                </c:pt>
                <c:pt idx="7">
                  <c:v>1.7481789802289278</c:v>
                </c:pt>
                <c:pt idx="8">
                  <c:v>1.5312499999999991</c:v>
                </c:pt>
                <c:pt idx="9">
                  <c:v>1.3577854671280272</c:v>
                </c:pt>
                <c:pt idx="10">
                  <c:v>1.4382716049382713</c:v>
                </c:pt>
                <c:pt idx="11">
                  <c:v>1.4515235457063711</c:v>
                </c:pt>
                <c:pt idx="12">
                  <c:v>1.6499999999999997</c:v>
                </c:pt>
                <c:pt idx="13">
                  <c:v>1.6553287981859404</c:v>
                </c:pt>
                <c:pt idx="14">
                  <c:v>0.99173553719008223</c:v>
                </c:pt>
                <c:pt idx="15">
                  <c:v>6.8052930056710759E-2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KIM!$V$6</c:f>
              <c:strCache>
                <c:ptCount val="1"/>
                <c:pt idx="0">
                  <c:v>BAI &amp; RHEE No ART (exp)</c:v>
                </c:pt>
              </c:strCache>
            </c:strRef>
          </c:tx>
          <c:xVal>
            <c:numRef>
              <c:f>KIM!$V$8:$V$16</c:f>
              <c:numCache>
                <c:formatCode>General</c:formatCode>
                <c:ptCount val="9"/>
                <c:pt idx="0">
                  <c:v>0.64730679338452102</c:v>
                </c:pt>
                <c:pt idx="1">
                  <c:v>0.81237126987879804</c:v>
                </c:pt>
                <c:pt idx="2">
                  <c:v>0.89462521463095102</c:v>
                </c:pt>
                <c:pt idx="3">
                  <c:v>0.97244041689760796</c:v>
                </c:pt>
                <c:pt idx="4">
                  <c:v>1.0019984418665</c:v>
                </c:pt>
                <c:pt idx="5">
                  <c:v>1.01473172584602</c:v>
                </c:pt>
                <c:pt idx="6">
                  <c:v>1.14249092057782</c:v>
                </c:pt>
                <c:pt idx="7">
                  <c:v>1.30115232111503</c:v>
                </c:pt>
                <c:pt idx="8">
                  <c:v>1.471083445413</c:v>
                </c:pt>
              </c:numCache>
            </c:numRef>
          </c:xVal>
          <c:yVal>
            <c:numRef>
              <c:f>KIM!$W$8:$W$16</c:f>
              <c:numCache>
                <c:formatCode>General</c:formatCode>
                <c:ptCount val="9"/>
                <c:pt idx="0">
                  <c:v>2.3009503839132401</c:v>
                </c:pt>
                <c:pt idx="1">
                  <c:v>2.7845240909918898</c:v>
                </c:pt>
                <c:pt idx="2">
                  <c:v>4.6891097321328203</c:v>
                </c:pt>
                <c:pt idx="3">
                  <c:v>10.8031267320669</c:v>
                </c:pt>
                <c:pt idx="4">
                  <c:v>14.9883139987829</c:v>
                </c:pt>
                <c:pt idx="5">
                  <c:v>12.987943845178799</c:v>
                </c:pt>
                <c:pt idx="6">
                  <c:v>3.68190433370413</c:v>
                </c:pt>
                <c:pt idx="7">
                  <c:v>1.1424083627582799</c:v>
                </c:pt>
                <c:pt idx="8">
                  <c:v>0.625840597517068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KIM!$AA$6</c:f>
              <c:strCache>
                <c:ptCount val="1"/>
                <c:pt idx="0">
                  <c:v>BAI &amp; RHEE with ART (exp)</c:v>
                </c:pt>
              </c:strCache>
            </c:strRef>
          </c:tx>
          <c:xVal>
            <c:numRef>
              <c:f>KIM!$Y$8:$Y$17</c:f>
              <c:numCache>
                <c:formatCode>0.000</c:formatCode>
                <c:ptCount val="10"/>
                <c:pt idx="0">
                  <c:v>0.64644943236654095</c:v>
                </c:pt>
                <c:pt idx="1">
                  <c:v>0.72969717171638804</c:v>
                </c:pt>
                <c:pt idx="2">
                  <c:v>0.81172786151991605</c:v>
                </c:pt>
                <c:pt idx="3">
                  <c:v>0.89445777341948196</c:v>
                </c:pt>
                <c:pt idx="4">
                  <c:v>0.99928372370649698</c:v>
                </c:pt>
                <c:pt idx="5">
                  <c:v>1.0122681695032101</c:v>
                </c:pt>
                <c:pt idx="6">
                  <c:v>1.1412738710315</c:v>
                </c:pt>
                <c:pt idx="7">
                  <c:v>1.22031697551559</c:v>
                </c:pt>
                <c:pt idx="8">
                  <c:v>1.30122363866806</c:v>
                </c:pt>
                <c:pt idx="9">
                  <c:v>1.4710710423603</c:v>
                </c:pt>
              </c:numCache>
            </c:numRef>
          </c:xVal>
          <c:yVal>
            <c:numRef>
              <c:f>KIM!$AA$8:$AA$17</c:f>
              <c:numCache>
                <c:formatCode>General</c:formatCode>
                <c:ptCount val="10"/>
                <c:pt idx="0">
                  <c:v>3.3707427490591102</c:v>
                </c:pt>
                <c:pt idx="1">
                  <c:v>5.2287878729152197</c:v>
                </c:pt>
                <c:pt idx="2">
                  <c:v>5.4589613993744202</c:v>
                </c:pt>
                <c:pt idx="3">
                  <c:v>3.4333006461215301</c:v>
                </c:pt>
                <c:pt idx="4">
                  <c:v>2.12792779872946</c:v>
                </c:pt>
                <c:pt idx="5">
                  <c:v>2.01127127414235</c:v>
                </c:pt>
                <c:pt idx="6">
                  <c:v>2.0540327363072199</c:v>
                </c:pt>
                <c:pt idx="7">
                  <c:v>2.3773163669908199</c:v>
                </c:pt>
                <c:pt idx="8">
                  <c:v>1.67729001050383</c:v>
                </c:pt>
                <c:pt idx="9">
                  <c:v>0.53281770225697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KIM!$AG$6</c:f>
              <c:strCache>
                <c:ptCount val="1"/>
                <c:pt idx="0">
                  <c:v>Bai PILLARS</c:v>
                </c:pt>
              </c:strCache>
            </c:strRef>
          </c:tx>
          <c:xVal>
            <c:numRef>
              <c:f>KIM!$AF$8:$AF$16</c:f>
              <c:numCache>
                <c:formatCode>General</c:formatCode>
                <c:ptCount val="9"/>
                <c:pt idx="0">
                  <c:v>0.64740291704295705</c:v>
                </c:pt>
                <c:pt idx="1">
                  <c:v>0.73064445486645402</c:v>
                </c:pt>
                <c:pt idx="2">
                  <c:v>0.81259762559059801</c:v>
                </c:pt>
                <c:pt idx="3">
                  <c:v>0.89443606807725495</c:v>
                </c:pt>
                <c:pt idx="4">
                  <c:v>1.0123301847667201</c:v>
                </c:pt>
                <c:pt idx="5">
                  <c:v>1.1423699908139799</c:v>
                </c:pt>
                <c:pt idx="6">
                  <c:v>1.2213448785082199</c:v>
                </c:pt>
                <c:pt idx="7">
                  <c:v>1.30122363866806</c:v>
                </c:pt>
                <c:pt idx="8">
                  <c:v>1.47107414312347</c:v>
                </c:pt>
              </c:numCache>
            </c:numRef>
          </c:xVal>
          <c:yVal>
            <c:numRef>
              <c:f>KIM!$AG$8:$AG$16</c:f>
              <c:numCache>
                <c:formatCode>General</c:formatCode>
                <c:ptCount val="9"/>
                <c:pt idx="0">
                  <c:v>3.0218778221789799</c:v>
                </c:pt>
                <c:pt idx="1">
                  <c:v>4.8334114984050398</c:v>
                </c:pt>
                <c:pt idx="2">
                  <c:v>4.4821919294886401</c:v>
                </c:pt>
                <c:pt idx="3">
                  <c:v>3.27051057941636</c:v>
                </c:pt>
                <c:pt idx="4">
                  <c:v>2.4763857504428302</c:v>
                </c:pt>
                <c:pt idx="5">
                  <c:v>2.7749311049181902</c:v>
                </c:pt>
                <c:pt idx="6">
                  <c:v>2.5865888116712701</c:v>
                </c:pt>
                <c:pt idx="7">
                  <c:v>1.67729001050383</c:v>
                </c:pt>
                <c:pt idx="8">
                  <c:v>0.55607342607199595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823024"/>
        <c:axId val="121824656"/>
      </c:scatterChart>
      <c:valAx>
        <c:axId val="121823024"/>
        <c:scaling>
          <c:orientation val="minMax"/>
          <c:max val="1.4"/>
          <c:min val="0.5"/>
        </c:scaling>
        <c:delete val="0"/>
        <c:axPos val="b"/>
        <c:numFmt formatCode="General" sourceLinked="1"/>
        <c:majorTickMark val="out"/>
        <c:minorTickMark val="none"/>
        <c:tickLblPos val="nextTo"/>
        <c:crossAx val="121824656"/>
        <c:crosses val="autoZero"/>
        <c:crossBetween val="midCat"/>
      </c:valAx>
      <c:valAx>
        <c:axId val="121824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8230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47404470815797E-2"/>
          <c:y val="2.2196929929213394E-2"/>
          <c:w val="0.88264959787543507"/>
          <c:h val="0.88470866141732285"/>
        </c:manualLayout>
      </c:layout>
      <c:scatterChart>
        <c:scatterStyle val="lineMarker"/>
        <c:varyColors val="0"/>
        <c:ser>
          <c:idx val="5"/>
          <c:order val="0"/>
          <c:tx>
            <c:strRef>
              <c:f>KIM!$V$6</c:f>
              <c:strCache>
                <c:ptCount val="1"/>
                <c:pt idx="0">
                  <c:v>BAI &amp; RHEE No ART (exp)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KIM!$V$8:$V$16</c:f>
              <c:numCache>
                <c:formatCode>General</c:formatCode>
                <c:ptCount val="9"/>
                <c:pt idx="0">
                  <c:v>0.64730679338452102</c:v>
                </c:pt>
                <c:pt idx="1">
                  <c:v>0.81237126987879804</c:v>
                </c:pt>
                <c:pt idx="2">
                  <c:v>0.89462521463095102</c:v>
                </c:pt>
                <c:pt idx="3">
                  <c:v>0.97244041689760796</c:v>
                </c:pt>
                <c:pt idx="4">
                  <c:v>1.0019984418665</c:v>
                </c:pt>
                <c:pt idx="5">
                  <c:v>1.01473172584602</c:v>
                </c:pt>
                <c:pt idx="6">
                  <c:v>1.14249092057782</c:v>
                </c:pt>
                <c:pt idx="7">
                  <c:v>1.30115232111503</c:v>
                </c:pt>
                <c:pt idx="8">
                  <c:v>1.471083445413</c:v>
                </c:pt>
              </c:numCache>
            </c:numRef>
          </c:xVal>
          <c:yVal>
            <c:numRef>
              <c:f>KIM!$W$8:$W$16</c:f>
              <c:numCache>
                <c:formatCode>General</c:formatCode>
                <c:ptCount val="9"/>
                <c:pt idx="0">
                  <c:v>2.3009503839132401</c:v>
                </c:pt>
                <c:pt idx="1">
                  <c:v>2.7845240909918898</c:v>
                </c:pt>
                <c:pt idx="2">
                  <c:v>4.6891097321328203</c:v>
                </c:pt>
                <c:pt idx="3">
                  <c:v>10.8031267320669</c:v>
                </c:pt>
                <c:pt idx="4">
                  <c:v>14.9883139987829</c:v>
                </c:pt>
                <c:pt idx="5">
                  <c:v>12.987943845178799</c:v>
                </c:pt>
                <c:pt idx="6">
                  <c:v>3.68190433370413</c:v>
                </c:pt>
                <c:pt idx="7">
                  <c:v>1.1424083627582799</c:v>
                </c:pt>
                <c:pt idx="8">
                  <c:v>0.625840597517068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KIM!$C$44</c:f>
              <c:strCache>
                <c:ptCount val="1"/>
                <c:pt idx="0">
                  <c:v>PRESENT WORK no ART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KIM!$F$46:$F$67</c:f>
              <c:numCache>
                <c:formatCode>General</c:formatCode>
                <c:ptCount val="22"/>
                <c:pt idx="0">
                  <c:v>0.51997737659803112</c:v>
                </c:pt>
                <c:pt idx="1">
                  <c:v>0.56724864768528049</c:v>
                </c:pt>
                <c:pt idx="2">
                  <c:v>0.61451579043850413</c:v>
                </c:pt>
                <c:pt idx="3">
                  <c:v>0.66178728670039455</c:v>
                </c:pt>
                <c:pt idx="4">
                  <c:v>0.70905968369326833</c:v>
                </c:pt>
                <c:pt idx="5">
                  <c:v>0.75632992894892681</c:v>
                </c:pt>
                <c:pt idx="6">
                  <c:v>0.80360097485237081</c:v>
                </c:pt>
                <c:pt idx="7">
                  <c:v>0.85087026934021426</c:v>
                </c:pt>
                <c:pt idx="8">
                  <c:v>0.89814117262759363</c:v>
                </c:pt>
                <c:pt idx="9">
                  <c:v>0.94541141037801579</c:v>
                </c:pt>
                <c:pt idx="10">
                  <c:v>0.99268166564278548</c:v>
                </c:pt>
                <c:pt idx="11">
                  <c:v>1.0399523312383059</c:v>
                </c:pt>
                <c:pt idx="12">
                  <c:v>1.0872230068419158</c:v>
                </c:pt>
                <c:pt idx="13">
                  <c:v>1.1344944130351766</c:v>
                </c:pt>
                <c:pt idx="14">
                  <c:v>1.1817645757248161</c:v>
                </c:pt>
                <c:pt idx="15">
                  <c:v>1.2290349635963551</c:v>
                </c:pt>
                <c:pt idx="16">
                  <c:v>1.2763054040103217</c:v>
                </c:pt>
                <c:pt idx="17">
                  <c:v>1.3235765349814264</c:v>
                </c:pt>
                <c:pt idx="18">
                  <c:v>1.3708466901651655</c:v>
                </c:pt>
                <c:pt idx="19">
                  <c:v>1.4181171155670238</c:v>
                </c:pt>
                <c:pt idx="20">
                  <c:v>1.4653876085233799</c:v>
                </c:pt>
                <c:pt idx="21">
                  <c:v>1.5126572958306357</c:v>
                </c:pt>
              </c:numCache>
            </c:numRef>
          </c:xVal>
          <c:yVal>
            <c:numRef>
              <c:f>KIM!$G$46:$G$67</c:f>
              <c:numCache>
                <c:formatCode>General</c:formatCode>
                <c:ptCount val="22"/>
                <c:pt idx="0">
                  <c:v>1.8342808756613573</c:v>
                </c:pt>
                <c:pt idx="1">
                  <c:v>1.921330579694976</c:v>
                </c:pt>
                <c:pt idx="2">
                  <c:v>2.1076207344547235</c:v>
                </c:pt>
                <c:pt idx="3">
                  <c:v>2.2591782806711174</c:v>
                </c:pt>
                <c:pt idx="4">
                  <c:v>2.5648721818229001</c:v>
                </c:pt>
                <c:pt idx="5">
                  <c:v>2.9258877154098313</c:v>
                </c:pt>
                <c:pt idx="6">
                  <c:v>3.4569723734693238</c:v>
                </c:pt>
                <c:pt idx="7">
                  <c:v>4.3906785871180682</c:v>
                </c:pt>
                <c:pt idx="8">
                  <c:v>6.0484115026223506</c:v>
                </c:pt>
                <c:pt idx="9">
                  <c:v>9.4196711067919718</c:v>
                </c:pt>
                <c:pt idx="10">
                  <c:v>14.824499252385966</c:v>
                </c:pt>
                <c:pt idx="11">
                  <c:v>9.6269920153468984</c:v>
                </c:pt>
                <c:pt idx="12">
                  <c:v>5.4501710799224288</c:v>
                </c:pt>
                <c:pt idx="13">
                  <c:v>3.5875531981150672</c:v>
                </c:pt>
                <c:pt idx="14">
                  <c:v>2.559389992028327</c:v>
                </c:pt>
                <c:pt idx="15">
                  <c:v>1.9563383508377041</c:v>
                </c:pt>
                <c:pt idx="16">
                  <c:v>1.5249966772682884</c:v>
                </c:pt>
                <c:pt idx="17">
                  <c:v>1.21658822653457</c:v>
                </c:pt>
                <c:pt idx="18">
                  <c:v>0.98406687978098317</c:v>
                </c:pt>
                <c:pt idx="19">
                  <c:v>0.8151406243448398</c:v>
                </c:pt>
                <c:pt idx="20">
                  <c:v>0.66984158818041029</c:v>
                </c:pt>
                <c:pt idx="21">
                  <c:v>0.56656399120589374</c:v>
                </c:pt>
              </c:numCache>
            </c:numRef>
          </c:yVal>
          <c:smooth val="0"/>
        </c:ser>
        <c:ser>
          <c:idx val="6"/>
          <c:order val="2"/>
          <c:tx>
            <c:strRef>
              <c:f>KIM!$AA$6</c:f>
              <c:strCache>
                <c:ptCount val="1"/>
                <c:pt idx="0">
                  <c:v>BAI &amp; RHEE with ART (exp)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KIM!$Y$8:$Y$17</c:f>
              <c:numCache>
                <c:formatCode>0.000</c:formatCode>
                <c:ptCount val="10"/>
                <c:pt idx="0">
                  <c:v>0.64644943236654095</c:v>
                </c:pt>
                <c:pt idx="1">
                  <c:v>0.72969717171638804</c:v>
                </c:pt>
                <c:pt idx="2">
                  <c:v>0.81172786151991605</c:v>
                </c:pt>
                <c:pt idx="3">
                  <c:v>0.89445777341948196</c:v>
                </c:pt>
                <c:pt idx="4">
                  <c:v>0.99928372370649698</c:v>
                </c:pt>
                <c:pt idx="5">
                  <c:v>1.0122681695032101</c:v>
                </c:pt>
                <c:pt idx="6">
                  <c:v>1.1412738710315</c:v>
                </c:pt>
                <c:pt idx="7">
                  <c:v>1.22031697551559</c:v>
                </c:pt>
                <c:pt idx="8">
                  <c:v>1.30122363866806</c:v>
                </c:pt>
                <c:pt idx="9">
                  <c:v>1.4710710423603</c:v>
                </c:pt>
              </c:numCache>
            </c:numRef>
          </c:xVal>
          <c:yVal>
            <c:numRef>
              <c:f>KIM!$AA$8:$AA$17</c:f>
              <c:numCache>
                <c:formatCode>General</c:formatCode>
                <c:ptCount val="10"/>
                <c:pt idx="0">
                  <c:v>3.3707427490591102</c:v>
                </c:pt>
                <c:pt idx="1">
                  <c:v>5.2287878729152197</c:v>
                </c:pt>
                <c:pt idx="2">
                  <c:v>5.4589613993744202</c:v>
                </c:pt>
                <c:pt idx="3">
                  <c:v>3.4333006461215301</c:v>
                </c:pt>
                <c:pt idx="4">
                  <c:v>2.12792779872946</c:v>
                </c:pt>
                <c:pt idx="5">
                  <c:v>2.01127127414235</c:v>
                </c:pt>
                <c:pt idx="6">
                  <c:v>2.0540327363072199</c:v>
                </c:pt>
                <c:pt idx="7">
                  <c:v>2.3773163669908199</c:v>
                </c:pt>
                <c:pt idx="8">
                  <c:v>1.67729001050383</c:v>
                </c:pt>
                <c:pt idx="9">
                  <c:v>0.53281770225697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KIM!$O$44</c:f>
              <c:strCache>
                <c:ptCount val="1"/>
                <c:pt idx="0">
                  <c:v>PRESENT WORK with ART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KIM!$AC$8:$AC$17</c:f>
              <c:numCache>
                <c:formatCode>General</c:formatCode>
                <c:ptCount val="10"/>
                <c:pt idx="0">
                  <c:v>0.64510209451028599</c:v>
                </c:pt>
                <c:pt idx="1">
                  <c:v>0.70961230396131458</c:v>
                </c:pt>
                <c:pt idx="2">
                  <c:v>0.83863272286337176</c:v>
                </c:pt>
                <c:pt idx="3">
                  <c:v>0.90314293231440024</c:v>
                </c:pt>
                <c:pt idx="4">
                  <c:v>0.99990824649094323</c:v>
                </c:pt>
                <c:pt idx="5">
                  <c:v>1.0321633512164576</c:v>
                </c:pt>
                <c:pt idx="6">
                  <c:v>1.1611837701185148</c:v>
                </c:pt>
                <c:pt idx="7">
                  <c:v>1.2256939795695434</c:v>
                </c:pt>
                <c:pt idx="8">
                  <c:v>1.290204189020572</c:v>
                </c:pt>
                <c:pt idx="9">
                  <c:v>1.4837348173736575</c:v>
                </c:pt>
              </c:numCache>
            </c:numRef>
          </c:xVal>
          <c:yVal>
            <c:numRef>
              <c:f>KIM!$AD$8:$AD$17</c:f>
              <c:numCache>
                <c:formatCode>General</c:formatCode>
                <c:ptCount val="10"/>
                <c:pt idx="0">
                  <c:v>3.9999999999999987</c:v>
                </c:pt>
                <c:pt idx="1">
                  <c:v>5.2231404958677672</c:v>
                </c:pt>
                <c:pt idx="2">
                  <c:v>5.7988165680473349</c:v>
                </c:pt>
                <c:pt idx="3">
                  <c:v>3.408163265306122</c:v>
                </c:pt>
                <c:pt idx="4">
                  <c:v>1.7481789802289278</c:v>
                </c:pt>
                <c:pt idx="5">
                  <c:v>1.5312499999999991</c:v>
                </c:pt>
                <c:pt idx="6">
                  <c:v>1.4382716049382713</c:v>
                </c:pt>
                <c:pt idx="7">
                  <c:v>1.4515235457063711</c:v>
                </c:pt>
                <c:pt idx="8">
                  <c:v>1.6499999999999997</c:v>
                </c:pt>
                <c:pt idx="9">
                  <c:v>6.8052930056710759E-2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016192"/>
        <c:axId val="403013472"/>
      </c:scatterChart>
      <c:valAx>
        <c:axId val="403016192"/>
        <c:scaling>
          <c:orientation val="minMax"/>
          <c:max val="1.6"/>
          <c:min val="0.60000000000000009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l-GR" sz="1800">
                    <a:latin typeface="Verdana"/>
                    <a:ea typeface="Verdana"/>
                    <a:cs typeface="Verdana"/>
                  </a:rPr>
                  <a:t>ω</a:t>
                </a:r>
                <a:r>
                  <a:rPr lang="es-ES" sz="1800">
                    <a:latin typeface="Verdana"/>
                    <a:ea typeface="Verdana"/>
                    <a:cs typeface="Verdana"/>
                  </a:rPr>
                  <a:t>/</a:t>
                </a:r>
                <a:r>
                  <a:rPr lang="el-GR" sz="1800">
                    <a:latin typeface="Verdana"/>
                    <a:ea typeface="Verdana"/>
                    <a:cs typeface="Verdana"/>
                  </a:rPr>
                  <a:t>ω</a:t>
                </a:r>
                <a:r>
                  <a:rPr lang="es-ES" sz="1200">
                    <a:latin typeface="Verdana"/>
                    <a:ea typeface="Verdana"/>
                    <a:cs typeface="Verdana"/>
                  </a:rPr>
                  <a:t>r</a:t>
                </a:r>
                <a:endParaRPr lang="en-US" sz="120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/>
            </a:pPr>
            <a:endParaRPr lang="es-ES"/>
          </a:p>
        </c:txPr>
        <c:crossAx val="403013472"/>
        <c:crosses val="autoZero"/>
        <c:crossBetween val="midCat"/>
      </c:valAx>
      <c:valAx>
        <c:axId val="4030134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Rao ROLL (rad/rad)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/>
            </a:pPr>
            <a:endParaRPr lang="es-ES"/>
          </a:p>
        </c:txPr>
        <c:crossAx val="403016192"/>
        <c:crosses val="autoZero"/>
        <c:crossBetween val="midCat"/>
      </c:valAx>
      <c:spPr>
        <a:noFill/>
        <a:ln w="127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4913571238037171"/>
          <c:y val="3.1962936451125426E-2"/>
          <c:w val="0.3291029177332449"/>
          <c:h val="0.22428441899308041"/>
        </c:manualLayout>
      </c:layout>
      <c:overlay val="0"/>
      <c:txPr>
        <a:bodyPr/>
        <a:lstStyle/>
        <a:p>
          <a:pPr>
            <a:defRPr sz="1800"/>
          </a:pPr>
          <a:endParaRPr lang="es-E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18</xdr:row>
      <xdr:rowOff>128587</xdr:rowOff>
    </xdr:from>
    <xdr:to>
      <xdr:col>15</xdr:col>
      <xdr:colOff>209550</xdr:colOff>
      <xdr:row>33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648075" y="4533900"/>
    <xdr:ext cx="5025059" cy="3257550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9601200" y="4381500"/>
    <xdr:ext cx="5025059" cy="3257550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15982950" y="4381500"/>
    <xdr:ext cx="5025059" cy="3257550"/>
    <xdr:graphicFrame macro="">
      <xdr:nvGraphicFramePr>
        <xdr:cNvPr id="5" name="Chart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D38" sqref="D38"/>
    </sheetView>
  </sheetViews>
  <sheetFormatPr baseColWidth="10" defaultColWidth="9.140625" defaultRowHeight="15" x14ac:dyDescent="0.25"/>
  <cols>
    <col min="1" max="1" width="13.42578125" customWidth="1"/>
  </cols>
  <sheetData>
    <row r="1" spans="1:26" x14ac:dyDescent="0.25">
      <c r="P1" t="s">
        <v>33</v>
      </c>
      <c r="Q1">
        <v>-0.5</v>
      </c>
      <c r="R1">
        <v>-0.25</v>
      </c>
      <c r="S1">
        <v>0</v>
      </c>
      <c r="T1">
        <v>0.25</v>
      </c>
      <c r="U1">
        <v>0.5</v>
      </c>
      <c r="V1">
        <v>0.75</v>
      </c>
      <c r="W1">
        <v>1</v>
      </c>
      <c r="X1">
        <v>1.1000000000000001</v>
      </c>
      <c r="Y1">
        <v>1.23</v>
      </c>
      <c r="Z1">
        <f>1.947-0.5</f>
        <v>1.4470000000000001</v>
      </c>
    </row>
    <row r="2" spans="1:26" x14ac:dyDescent="0.25">
      <c r="C2" t="s">
        <v>0</v>
      </c>
      <c r="D2">
        <v>47.6</v>
      </c>
      <c r="E2">
        <f>D2/2</f>
        <v>23.8</v>
      </c>
      <c r="P2" t="s">
        <v>34</v>
      </c>
      <c r="Q2">
        <f t="shared" ref="Q2:Z2" si="0">1.9747-Q1</f>
        <v>2.4746999999999999</v>
      </c>
      <c r="R2">
        <f t="shared" si="0"/>
        <v>2.2246999999999999</v>
      </c>
      <c r="S2">
        <f t="shared" si="0"/>
        <v>1.9746999999999999</v>
      </c>
      <c r="T2">
        <f t="shared" si="0"/>
        <v>1.7246999999999999</v>
      </c>
      <c r="U2">
        <f t="shared" si="0"/>
        <v>1.4746999999999999</v>
      </c>
      <c r="V2">
        <f t="shared" si="0"/>
        <v>1.2246999999999999</v>
      </c>
      <c r="W2">
        <f t="shared" si="0"/>
        <v>0.9746999999999999</v>
      </c>
      <c r="X2">
        <f t="shared" si="0"/>
        <v>0.87469999999999981</v>
      </c>
      <c r="Y2">
        <f t="shared" si="0"/>
        <v>0.74469999999999992</v>
      </c>
      <c r="Z2">
        <f t="shared" si="0"/>
        <v>0.52769999999999984</v>
      </c>
    </row>
    <row r="3" spans="1:26" x14ac:dyDescent="0.25">
      <c r="A3" t="s">
        <v>1</v>
      </c>
      <c r="B3">
        <v>0.28799999999999998</v>
      </c>
      <c r="C3" t="s">
        <v>3</v>
      </c>
      <c r="D3">
        <f>B3*$D$2</f>
        <v>13.7088</v>
      </c>
      <c r="E3">
        <f>D3/2</f>
        <v>6.8544</v>
      </c>
      <c r="P3" t="s">
        <v>23</v>
      </c>
      <c r="R3" s="1">
        <v>32690200</v>
      </c>
    </row>
    <row r="4" spans="1:26" x14ac:dyDescent="0.25">
      <c r="A4" t="s">
        <v>2</v>
      </c>
      <c r="B4">
        <v>8.4000000000000005E-2</v>
      </c>
      <c r="C4" t="s">
        <v>8</v>
      </c>
      <c r="D4">
        <f t="shared" ref="D4:D8" si="1">B4*$D$2</f>
        <v>3.9984000000000002</v>
      </c>
      <c r="P4" t="s">
        <v>32</v>
      </c>
      <c r="Q4">
        <v>6.6</v>
      </c>
      <c r="R4">
        <v>6.26</v>
      </c>
      <c r="S4">
        <v>5.93</v>
      </c>
      <c r="T4">
        <v>5.5</v>
      </c>
      <c r="U4">
        <v>5.04</v>
      </c>
      <c r="V4">
        <v>4.5469999999999997</v>
      </c>
      <c r="W4">
        <v>4</v>
      </c>
      <c r="X4">
        <v>3.75</v>
      </c>
      <c r="Y4">
        <f>3.43</f>
        <v>3.43</v>
      </c>
      <c r="Z4">
        <v>2.5836000000000001</v>
      </c>
    </row>
    <row r="5" spans="1:26" x14ac:dyDescent="0.25">
      <c r="A5" t="s">
        <v>9</v>
      </c>
      <c r="B5">
        <v>4.4999999999999998E-2</v>
      </c>
      <c r="C5" t="s">
        <v>4</v>
      </c>
      <c r="D5">
        <f t="shared" si="1"/>
        <v>2.1419999999999999</v>
      </c>
      <c r="P5" t="s">
        <v>18</v>
      </c>
      <c r="R5">
        <v>8.93</v>
      </c>
      <c r="S5">
        <v>8.93</v>
      </c>
      <c r="T5">
        <v>8.93</v>
      </c>
      <c r="U5">
        <v>8.93</v>
      </c>
      <c r="V5">
        <v>8.93</v>
      </c>
      <c r="W5">
        <v>8.93</v>
      </c>
      <c r="X5">
        <v>8.93</v>
      </c>
      <c r="Y5">
        <v>8.93</v>
      </c>
      <c r="Z5">
        <v>8.93</v>
      </c>
    </row>
    <row r="6" spans="1:26" x14ac:dyDescent="0.25">
      <c r="A6" t="s">
        <v>10</v>
      </c>
      <c r="B6">
        <v>5.8819999999999997E-2</v>
      </c>
      <c r="C6" t="s">
        <v>5</v>
      </c>
      <c r="D6">
        <f t="shared" si="1"/>
        <v>2.7998319999999999</v>
      </c>
      <c r="F6" t="s">
        <v>26</v>
      </c>
      <c r="G6">
        <f>D6*D7*D8</f>
        <v>92.016816595083881</v>
      </c>
      <c r="P6" t="s">
        <v>39</v>
      </c>
      <c r="S6">
        <v>1.04</v>
      </c>
      <c r="U6">
        <v>0.97599999999999998</v>
      </c>
      <c r="V6">
        <v>0.86899999999999999</v>
      </c>
      <c r="W6">
        <v>0.66</v>
      </c>
      <c r="X6">
        <v>0.53400000000000003</v>
      </c>
      <c r="Y6">
        <v>0.28499999999999998</v>
      </c>
      <c r="Z6">
        <v>0.23300000000000001</v>
      </c>
    </row>
    <row r="7" spans="1:26" x14ac:dyDescent="0.25">
      <c r="A7" t="s">
        <v>11</v>
      </c>
      <c r="B7">
        <v>0.2878</v>
      </c>
      <c r="C7" t="s">
        <v>6</v>
      </c>
      <c r="D7">
        <f t="shared" si="1"/>
        <v>13.69928</v>
      </c>
      <c r="F7" t="s">
        <v>27</v>
      </c>
      <c r="G7">
        <f>G6*0.5</f>
        <v>46.008408297541941</v>
      </c>
      <c r="P7" t="s">
        <v>35</v>
      </c>
      <c r="S7">
        <f>S6/B24</f>
        <v>20.605202913631629</v>
      </c>
      <c r="U7">
        <f>U6/B24</f>
        <v>19.337190426638912</v>
      </c>
      <c r="V7">
        <f>V6/B24</f>
        <v>17.217232049947967</v>
      </c>
      <c r="W7">
        <f>W6/B24</f>
        <v>13.076378772112379</v>
      </c>
      <c r="X7">
        <f>X6/B24</f>
        <v>10.579979188345471</v>
      </c>
      <c r="Y7">
        <f>Y6/B24</f>
        <v>5.646618106139436</v>
      </c>
      <c r="Z7">
        <f>Z6/B24</f>
        <v>4.6163579604578553</v>
      </c>
    </row>
    <row r="8" spans="1:26" x14ac:dyDescent="0.25">
      <c r="A8" t="s">
        <v>12</v>
      </c>
      <c r="B8">
        <v>5.04E-2</v>
      </c>
      <c r="C8" t="s">
        <v>7</v>
      </c>
      <c r="D8">
        <f t="shared" si="1"/>
        <v>2.3990400000000003</v>
      </c>
      <c r="F8" t="s">
        <v>28</v>
      </c>
      <c r="G8">
        <v>130000</v>
      </c>
    </row>
    <row r="9" spans="1:26" x14ac:dyDescent="0.25">
      <c r="A9" t="s">
        <v>25</v>
      </c>
      <c r="B9">
        <v>5.756E-2</v>
      </c>
      <c r="C9" t="s">
        <v>25</v>
      </c>
      <c r="D9">
        <f>B9*$D$2</f>
        <v>2.7398560000000001</v>
      </c>
      <c r="F9" t="s">
        <v>29</v>
      </c>
      <c r="G9">
        <f>G7/G8</f>
        <v>3.5391083305801491E-4</v>
      </c>
      <c r="P9" t="s">
        <v>50</v>
      </c>
      <c r="R9" s="1">
        <f>0.06*SQRT(4*$T$16*R3)</f>
        <v>839854.23603861162</v>
      </c>
    </row>
    <row r="10" spans="1:26" x14ac:dyDescent="0.25">
      <c r="A10" t="s">
        <v>9</v>
      </c>
      <c r="B10">
        <v>4.4999999999999998E-2</v>
      </c>
      <c r="C10" t="s">
        <v>55</v>
      </c>
      <c r="D10">
        <f>B10*$D$2</f>
        <v>2.1419999999999999</v>
      </c>
      <c r="F10" t="s">
        <v>30</v>
      </c>
      <c r="G10">
        <f>G9^(1/3)</f>
        <v>7.0734499590271199E-2</v>
      </c>
    </row>
    <row r="11" spans="1:26" x14ac:dyDescent="0.25">
      <c r="A11" t="s">
        <v>56</v>
      </c>
      <c r="C11" t="s">
        <v>56</v>
      </c>
      <c r="D11">
        <f>D10-D4</f>
        <v>-1.8564000000000003</v>
      </c>
      <c r="G11">
        <f>0.373/4</f>
        <v>9.325E-2</v>
      </c>
    </row>
    <row r="12" spans="1:26" x14ac:dyDescent="0.25">
      <c r="D12">
        <f>1.2+D11</f>
        <v>-0.65640000000000032</v>
      </c>
    </row>
    <row r="14" spans="1:26" x14ac:dyDescent="0.25">
      <c r="E14">
        <v>-0.65640000000000032</v>
      </c>
    </row>
    <row r="15" spans="1:26" x14ac:dyDescent="0.25">
      <c r="A15" t="s">
        <v>13</v>
      </c>
      <c r="B15">
        <f>D2/9.80665</f>
        <v>4.8538491737749387</v>
      </c>
      <c r="G15" s="5"/>
      <c r="H15" s="5"/>
      <c r="I15" s="5"/>
      <c r="J15" s="5"/>
    </row>
    <row r="16" spans="1:26" x14ac:dyDescent="0.25">
      <c r="B16" t="s">
        <v>14</v>
      </c>
      <c r="C16" t="s">
        <v>17</v>
      </c>
      <c r="D16" t="s">
        <v>18</v>
      </c>
      <c r="G16" s="5"/>
      <c r="H16" s="5"/>
      <c r="I16" s="5"/>
      <c r="J16" s="5"/>
      <c r="S16" t="s">
        <v>37</v>
      </c>
      <c r="T16">
        <f>1498400</f>
        <v>1498400</v>
      </c>
      <c r="V16" t="s">
        <v>37</v>
      </c>
      <c r="W16">
        <f>T16</f>
        <v>1498400</v>
      </c>
    </row>
    <row r="17" spans="1:23" x14ac:dyDescent="0.25">
      <c r="A17" t="s">
        <v>15</v>
      </c>
      <c r="B17">
        <v>0.5</v>
      </c>
      <c r="C17">
        <f>B17/SQRT(B15)</f>
        <v>0.22694826438173604</v>
      </c>
      <c r="D17">
        <f>2*PI()/C17</f>
        <v>27.685540245467653</v>
      </c>
      <c r="G17" s="5"/>
      <c r="H17" s="5"/>
      <c r="I17" s="5"/>
      <c r="J17" s="5"/>
      <c r="S17" t="s">
        <v>32</v>
      </c>
      <c r="T17" s="3">
        <v>6.5</v>
      </c>
      <c r="V17" t="s">
        <v>23</v>
      </c>
      <c r="W17" s="1">
        <f>T19</f>
        <v>36363800</v>
      </c>
    </row>
    <row r="18" spans="1:23" x14ac:dyDescent="0.25">
      <c r="A18" t="s">
        <v>16</v>
      </c>
      <c r="B18">
        <v>2.15</v>
      </c>
      <c r="C18">
        <f>B18/SQRT(B15)</f>
        <v>0.97587753684146494</v>
      </c>
      <c r="D18">
        <f>2*PI()/C18</f>
        <v>6.4384977315041052</v>
      </c>
      <c r="G18" s="5"/>
      <c r="H18" s="5"/>
      <c r="I18" s="5"/>
      <c r="J18" s="5"/>
      <c r="S18" t="s">
        <v>21</v>
      </c>
      <c r="T18" s="4">
        <f>T16*T17^2</f>
        <v>63307400</v>
      </c>
      <c r="V18" t="s">
        <v>24</v>
      </c>
      <c r="W18" s="1">
        <f>T24</f>
        <v>8113847.3446644843</v>
      </c>
    </row>
    <row r="19" spans="1:23" x14ac:dyDescent="0.25">
      <c r="G19" s="5"/>
      <c r="H19" s="5"/>
      <c r="I19" s="5"/>
      <c r="J19" s="6"/>
      <c r="S19" t="s">
        <v>23</v>
      </c>
      <c r="T19" s="1">
        <v>36363800</v>
      </c>
      <c r="V19" t="s">
        <v>18</v>
      </c>
      <c r="W19">
        <v>8.93</v>
      </c>
    </row>
    <row r="20" spans="1:23" x14ac:dyDescent="0.25">
      <c r="G20" s="5"/>
      <c r="H20" s="6"/>
      <c r="I20" s="6"/>
      <c r="J20" s="5"/>
      <c r="S20" t="s">
        <v>18</v>
      </c>
      <c r="T20" s="3">
        <v>8.8056000000000001</v>
      </c>
      <c r="V20" t="s">
        <v>17</v>
      </c>
      <c r="W20">
        <f>2*PI()/W19</f>
        <v>0.70360417773567596</v>
      </c>
    </row>
    <row r="21" spans="1:23" x14ac:dyDescent="0.25">
      <c r="A21" t="s">
        <v>19</v>
      </c>
      <c r="B21">
        <v>1.55</v>
      </c>
      <c r="G21" s="5"/>
      <c r="H21" s="5"/>
      <c r="I21" s="5"/>
      <c r="J21" s="5"/>
      <c r="S21" t="s">
        <v>17</v>
      </c>
      <c r="T21">
        <f>2*PI()/T20</f>
        <v>0.71354425674338895</v>
      </c>
      <c r="V21" t="s">
        <v>22</v>
      </c>
      <c r="W21">
        <f>W20*W20</f>
        <v>0.49505883892709668</v>
      </c>
    </row>
    <row r="22" spans="1:23" x14ac:dyDescent="0.25">
      <c r="A22" t="s">
        <v>38</v>
      </c>
      <c r="B22">
        <f>B21/SQRT(B15)</f>
        <v>0.70353961958338174</v>
      </c>
      <c r="G22" s="5"/>
      <c r="H22" s="5"/>
      <c r="I22" s="5"/>
      <c r="J22" s="5"/>
      <c r="S22" t="s">
        <v>22</v>
      </c>
      <c r="T22">
        <f>T21*T21</f>
        <v>0.50914540633147531</v>
      </c>
      <c r="V22" t="s">
        <v>36</v>
      </c>
      <c r="W22" s="1">
        <f>W17/W21</f>
        <v>73453491.061402917</v>
      </c>
    </row>
    <row r="23" spans="1:23" x14ac:dyDescent="0.25">
      <c r="A23" t="s">
        <v>20</v>
      </c>
      <c r="B23">
        <f>2*PI()/B22</f>
        <v>8.9308194340218225</v>
      </c>
      <c r="C23">
        <f>B23*2</f>
        <v>17.861638868043645</v>
      </c>
      <c r="G23" s="5"/>
      <c r="H23" s="5"/>
      <c r="I23" s="5"/>
      <c r="J23" s="5"/>
      <c r="S23" t="s">
        <v>36</v>
      </c>
      <c r="T23" s="1">
        <f>T19/T22</f>
        <v>71421247.344664484</v>
      </c>
      <c r="V23" t="s">
        <v>21</v>
      </c>
      <c r="W23" s="1">
        <f>W22-W18</f>
        <v>65339643.716738433</v>
      </c>
    </row>
    <row r="24" spans="1:23" x14ac:dyDescent="0.25">
      <c r="A24" t="s">
        <v>31</v>
      </c>
      <c r="B24">
        <f>B22*B22/9.80665</f>
        <v>5.0472689075630267E-2</v>
      </c>
      <c r="G24" s="5"/>
      <c r="H24" s="6"/>
      <c r="I24" s="6"/>
      <c r="J24" s="5"/>
      <c r="L24" s="1"/>
      <c r="S24" t="s">
        <v>24</v>
      </c>
      <c r="T24" s="1">
        <f>T23-T18</f>
        <v>8113847.3446644843</v>
      </c>
      <c r="V24" t="s">
        <v>32</v>
      </c>
      <c r="W24">
        <f>SQRT(W23/W16)</f>
        <v>6.6035048147722479</v>
      </c>
    </row>
    <row r="25" spans="1:23" x14ac:dyDescent="0.25">
      <c r="A25" s="2"/>
      <c r="B25" s="2"/>
      <c r="C25" s="2"/>
      <c r="G25" s="5"/>
      <c r="H25" s="6"/>
      <c r="I25" s="6"/>
      <c r="J25" s="5"/>
      <c r="L25" s="1"/>
    </row>
    <row r="26" spans="1:23" x14ac:dyDescent="0.25">
      <c r="A26" s="2"/>
      <c r="B26" s="2"/>
      <c r="C26" s="2"/>
      <c r="G26" s="5"/>
      <c r="H26" s="5"/>
      <c r="I26" s="5"/>
      <c r="J26" s="5"/>
      <c r="L26" s="1"/>
    </row>
    <row r="27" spans="1:23" x14ac:dyDescent="0.25">
      <c r="A27" s="2"/>
      <c r="B27" s="2"/>
      <c r="C27" s="2"/>
      <c r="D27">
        <f>D2*0.05</f>
        <v>2.3800000000000003</v>
      </c>
      <c r="G27" s="5"/>
      <c r="H27" s="5"/>
      <c r="I27" s="5"/>
      <c r="J27" s="5"/>
      <c r="L27" s="1"/>
      <c r="M27" s="1"/>
    </row>
    <row r="28" spans="1:23" x14ac:dyDescent="0.25">
      <c r="A28" s="2"/>
      <c r="B28" s="2"/>
      <c r="C28" s="2"/>
      <c r="G28" s="5"/>
      <c r="H28" s="6"/>
      <c r="I28" s="5"/>
      <c r="J28" s="5"/>
      <c r="L28" s="1"/>
      <c r="M28" s="1"/>
    </row>
    <row r="29" spans="1:23" x14ac:dyDescent="0.25">
      <c r="A29" s="2"/>
      <c r="B29" s="2"/>
      <c r="C29" s="2"/>
      <c r="G29" s="5"/>
      <c r="H29" s="6"/>
      <c r="I29" s="5"/>
      <c r="J29" s="5"/>
    </row>
    <row r="30" spans="1:23" x14ac:dyDescent="0.25">
      <c r="A30" s="2"/>
      <c r="B30" s="2"/>
      <c r="C30" s="2"/>
    </row>
    <row r="31" spans="1:23" x14ac:dyDescent="0.25">
      <c r="A31" s="2"/>
      <c r="B31" s="2"/>
      <c r="C31" s="2"/>
    </row>
    <row r="32" spans="1:23" x14ac:dyDescent="0.25">
      <c r="A32" s="2"/>
      <c r="B32" s="2"/>
      <c r="C32" s="2"/>
    </row>
    <row r="33" spans="2:2" x14ac:dyDescent="0.25">
      <c r="B33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tabSelected="1" topLeftCell="A37" workbookViewId="0">
      <selection activeCell="K57" sqref="K57"/>
    </sheetView>
  </sheetViews>
  <sheetFormatPr baseColWidth="10" defaultColWidth="12" defaultRowHeight="15" x14ac:dyDescent="0.25"/>
  <cols>
    <col min="15" max="15" width="23.28515625" bestFit="1" customWidth="1"/>
    <col min="19" max="19" width="11.7109375" customWidth="1"/>
  </cols>
  <sheetData>
    <row r="1" spans="1:33" x14ac:dyDescent="0.25">
      <c r="A1" t="s">
        <v>0</v>
      </c>
      <c r="B1">
        <v>47.6</v>
      </c>
      <c r="D1" t="s">
        <v>46</v>
      </c>
      <c r="E1" s="7">
        <v>5.93</v>
      </c>
    </row>
    <row r="2" spans="1:33" x14ac:dyDescent="0.25">
      <c r="A2" t="s">
        <v>44</v>
      </c>
      <c r="B2">
        <v>9.8066499999999994</v>
      </c>
      <c r="D2" t="s">
        <v>47</v>
      </c>
      <c r="E2" s="7">
        <v>15.93</v>
      </c>
    </row>
    <row r="3" spans="1:33" x14ac:dyDescent="0.25">
      <c r="A3" t="s">
        <v>13</v>
      </c>
      <c r="B3">
        <f>B1/B2</f>
        <v>4.8538491737749387</v>
      </c>
      <c r="D3" t="s">
        <v>49</v>
      </c>
      <c r="E3" s="7">
        <f>2*PI()/D15</f>
        <v>8.9337580072043092</v>
      </c>
    </row>
    <row r="4" spans="1:33" x14ac:dyDescent="0.25">
      <c r="D4" t="s">
        <v>48</v>
      </c>
      <c r="E4">
        <v>21</v>
      </c>
    </row>
    <row r="6" spans="1:33" x14ac:dyDescent="0.25">
      <c r="A6" t="s">
        <v>40</v>
      </c>
      <c r="H6" t="s">
        <v>41</v>
      </c>
      <c r="O6" t="s">
        <v>42</v>
      </c>
      <c r="V6" t="s">
        <v>68</v>
      </c>
      <c r="AA6" s="11" t="s">
        <v>69</v>
      </c>
      <c r="AB6" t="s">
        <v>65</v>
      </c>
      <c r="AG6" s="11" t="s">
        <v>64</v>
      </c>
    </row>
    <row r="7" spans="1:33" x14ac:dyDescent="0.25">
      <c r="A7" t="s">
        <v>43</v>
      </c>
      <c r="B7" t="s">
        <v>35</v>
      </c>
      <c r="C7" t="s">
        <v>23</v>
      </c>
      <c r="D7" t="s">
        <v>17</v>
      </c>
      <c r="E7" t="s">
        <v>45</v>
      </c>
      <c r="F7" t="s">
        <v>63</v>
      </c>
      <c r="H7" t="s">
        <v>43</v>
      </c>
      <c r="I7" t="s">
        <v>35</v>
      </c>
      <c r="J7" t="s">
        <v>23</v>
      </c>
      <c r="K7" t="s">
        <v>17</v>
      </c>
      <c r="L7" t="s">
        <v>45</v>
      </c>
      <c r="N7" t="s">
        <v>63</v>
      </c>
      <c r="O7" t="s">
        <v>43</v>
      </c>
      <c r="P7" t="s">
        <v>35</v>
      </c>
      <c r="Q7" t="s">
        <v>23</v>
      </c>
      <c r="R7" t="s">
        <v>17</v>
      </c>
      <c r="S7" t="s">
        <v>45</v>
      </c>
      <c r="V7" t="s">
        <v>63</v>
      </c>
      <c r="W7" t="s">
        <v>35</v>
      </c>
      <c r="Y7" s="11" t="s">
        <v>63</v>
      </c>
      <c r="Z7" t="s">
        <v>17</v>
      </c>
      <c r="AA7" t="s">
        <v>35</v>
      </c>
      <c r="AB7" t="s">
        <v>17</v>
      </c>
      <c r="AC7" t="s">
        <v>63</v>
      </c>
      <c r="AD7" t="s">
        <v>35</v>
      </c>
      <c r="AF7" s="11" t="s">
        <v>63</v>
      </c>
      <c r="AG7" s="11" t="s">
        <v>35</v>
      </c>
    </row>
    <row r="8" spans="1:33" x14ac:dyDescent="0.25">
      <c r="A8" s="7">
        <v>0.89836535790177097</v>
      </c>
      <c r="B8">
        <v>1.84466019417475</v>
      </c>
      <c r="C8">
        <f t="shared" ref="C8:C23" si="0">D8^2/$B$2</f>
        <v>1.6955048661302041E-2</v>
      </c>
      <c r="D8" s="2">
        <f t="shared" ref="D8:D23" si="1">A8/SQRT($B$3)</f>
        <v>0.40776491751296806</v>
      </c>
      <c r="E8">
        <f t="shared" ref="E8:E23" si="2">B8*C8</f>
        <v>3.1276303355799756E-2</v>
      </c>
      <c r="F8">
        <f>A8/1.55</f>
        <v>0.57959055348501354</v>
      </c>
      <c r="H8" s="7">
        <v>0.89818345985478198</v>
      </c>
      <c r="I8">
        <v>3.22815533980582</v>
      </c>
      <c r="J8">
        <f t="shared" ref="J8:J23" si="3">K8^2/$B$2</f>
        <v>1.6948183352031656E-2</v>
      </c>
      <c r="K8">
        <f t="shared" ref="K8:K23" si="4">H8/SQRT($B$3)</f>
        <v>0.4076823546208509</v>
      </c>
      <c r="L8">
        <f t="shared" ref="L8:L23" si="5">I8*J8</f>
        <v>5.471136858786909E-2</v>
      </c>
      <c r="N8">
        <f>O8/1.55</f>
        <v>0.57946084689802646</v>
      </c>
      <c r="O8" s="7">
        <v>0.89816431269194097</v>
      </c>
      <c r="P8">
        <v>3.3737864077669899</v>
      </c>
      <c r="Q8">
        <f t="shared" ref="Q8:Q22" si="6">R8^2/$B$2</f>
        <v>1.6947460768768633E-2</v>
      </c>
      <c r="R8">
        <f t="shared" ref="R8:R22" si="7">O8/SQRT($B$3)</f>
        <v>0.40767366379010173</v>
      </c>
      <c r="S8">
        <f t="shared" ref="S8:S22" si="8">P8*Q8</f>
        <v>5.7177112787835917E-2</v>
      </c>
      <c r="V8" s="11">
        <v>0.64730679338452102</v>
      </c>
      <c r="W8" s="11">
        <v>2.3009503839132401</v>
      </c>
      <c r="Y8" s="2">
        <v>0.64644943236654095</v>
      </c>
      <c r="Z8" s="2">
        <f>Y8*2*PI()/8.93</f>
        <v>0.45484452130795455</v>
      </c>
      <c r="AA8" s="11">
        <v>3.3707427490591102</v>
      </c>
      <c r="AB8" s="2">
        <f>P47</f>
        <v>0.45389652876347208</v>
      </c>
      <c r="AC8">
        <f>AB8/(2*PI()/8.93)</f>
        <v>0.64510209451028599</v>
      </c>
      <c r="AD8">
        <f>U47</f>
        <v>3.9999999999999987</v>
      </c>
      <c r="AF8" s="11">
        <v>0.64740291704295705</v>
      </c>
      <c r="AG8" s="11">
        <v>3.0218778221789799</v>
      </c>
    </row>
    <row r="9" spans="1:33" x14ac:dyDescent="0.25">
      <c r="A9" s="7">
        <v>0.99891987475502897</v>
      </c>
      <c r="B9">
        <v>2.0388349514563102</v>
      </c>
      <c r="C9">
        <f t="shared" si="0"/>
        <v>2.0963044457575689E-2</v>
      </c>
      <c r="D9" s="2">
        <f t="shared" si="1"/>
        <v>0.45340626366414993</v>
      </c>
      <c r="E9">
        <f t="shared" si="2"/>
        <v>4.2740187729037801E-2</v>
      </c>
      <c r="F9" s="11">
        <f t="shared" ref="F9:F23" si="9">A9/1.55</f>
        <v>0.64446443532582509</v>
      </c>
      <c r="H9" s="7">
        <v>0.99853693149820899</v>
      </c>
      <c r="I9">
        <v>4.9514563106796103</v>
      </c>
      <c r="J9">
        <f t="shared" si="3"/>
        <v>2.0946974864828976E-2</v>
      </c>
      <c r="K9">
        <f t="shared" si="4"/>
        <v>0.45323244704916599</v>
      </c>
      <c r="L9">
        <f t="shared" si="5"/>
        <v>0.10371803088410461</v>
      </c>
      <c r="N9" s="11">
        <f t="shared" ref="N9:N22" si="10">O9/1.55</f>
        <v>0.64419061030885161</v>
      </c>
      <c r="O9" s="7">
        <v>0.99849544597871998</v>
      </c>
      <c r="P9">
        <v>5.2669902912621298</v>
      </c>
      <c r="Q9">
        <f t="shared" si="6"/>
        <v>2.0945234362189983E-2</v>
      </c>
      <c r="R9">
        <f t="shared" si="7"/>
        <v>0.45321361691587597</v>
      </c>
      <c r="S9">
        <f t="shared" si="8"/>
        <v>0.11031834603386459</v>
      </c>
      <c r="V9" s="11">
        <v>0.81237126987879804</v>
      </c>
      <c r="W9" s="11">
        <v>2.7845240909918898</v>
      </c>
      <c r="Y9" s="2">
        <v>0.72969717171638804</v>
      </c>
      <c r="Z9" s="2">
        <f t="shared" ref="Z9:Z17" si="11">Y9*2*PI()/8.93</f>
        <v>0.51341797850155746</v>
      </c>
      <c r="AA9" s="11">
        <v>5.2287878729152197</v>
      </c>
      <c r="AB9" s="2">
        <f>P48</f>
        <v>0.4992861816398193</v>
      </c>
      <c r="AC9" s="11">
        <f t="shared" ref="AC9:AC17" si="12">AB9/(2*PI()/8.93)</f>
        <v>0.70961230396131458</v>
      </c>
      <c r="AD9" s="11">
        <f>U48</f>
        <v>5.2231404958677672</v>
      </c>
      <c r="AF9" s="11">
        <v>0.73064445486645402</v>
      </c>
      <c r="AG9" s="11">
        <v>4.8334114984050398</v>
      </c>
    </row>
    <row r="10" spans="1:33" x14ac:dyDescent="0.25">
      <c r="A10" s="7">
        <v>1.0994616268330499</v>
      </c>
      <c r="B10">
        <v>2.33009708737863</v>
      </c>
      <c r="C10">
        <f t="shared" si="0"/>
        <v>2.5395291362991113E-2</v>
      </c>
      <c r="D10" s="2">
        <f t="shared" si="1"/>
        <v>0.49904181592816127</v>
      </c>
      <c r="E10">
        <f t="shared" si="2"/>
        <v>5.9173494438037273E-2</v>
      </c>
      <c r="F10" s="11">
        <f t="shared" si="9"/>
        <v>0.70933008182777413</v>
      </c>
      <c r="H10" s="7">
        <v>1.09704270192748</v>
      </c>
      <c r="I10">
        <v>5.72815533980582</v>
      </c>
      <c r="J10">
        <f t="shared" si="3"/>
        <v>2.5283669954881217E-2</v>
      </c>
      <c r="K10">
        <f t="shared" si="4"/>
        <v>0.49794387431018355</v>
      </c>
      <c r="L10">
        <f t="shared" si="5"/>
        <v>0.14482878906194083</v>
      </c>
      <c r="N10" s="11">
        <f t="shared" si="10"/>
        <v>0.70910155117451612</v>
      </c>
      <c r="O10" s="7">
        <v>1.0991074043205</v>
      </c>
      <c r="P10">
        <v>5.0242718446601904</v>
      </c>
      <c r="Q10">
        <f t="shared" si="6"/>
        <v>2.5378930383028304E-2</v>
      </c>
      <c r="R10">
        <f t="shared" si="7"/>
        <v>0.49888103555930496</v>
      </c>
      <c r="S10">
        <f t="shared" si="8"/>
        <v>0.12751064537104018</v>
      </c>
      <c r="V10" s="11">
        <v>0.89462521463095102</v>
      </c>
      <c r="W10" s="11">
        <v>4.6891097321328203</v>
      </c>
      <c r="Y10" s="2">
        <v>0.81172786151991605</v>
      </c>
      <c r="Z10" s="2">
        <f t="shared" si="11"/>
        <v>0.57113511454985921</v>
      </c>
      <c r="AA10" s="11">
        <v>5.4589613993744202</v>
      </c>
      <c r="AB10" s="2">
        <f>P50</f>
        <v>0.59006548739251374</v>
      </c>
      <c r="AC10" s="11">
        <f t="shared" si="12"/>
        <v>0.83863272286337176</v>
      </c>
      <c r="AD10" s="11">
        <f>U50</f>
        <v>5.7988165680473349</v>
      </c>
      <c r="AF10" s="11">
        <v>0.81259762559059801</v>
      </c>
      <c r="AG10" s="11">
        <v>4.4821919294886401</v>
      </c>
    </row>
    <row r="11" spans="1:33" x14ac:dyDescent="0.25">
      <c r="A11" s="7">
        <v>1.19799930920039</v>
      </c>
      <c r="B11">
        <v>2.86407766990291</v>
      </c>
      <c r="C11">
        <f t="shared" si="0"/>
        <v>3.0151309765643109E-2</v>
      </c>
      <c r="D11" s="2">
        <f t="shared" si="1"/>
        <v>0.54376772790709449</v>
      </c>
      <c r="E11">
        <f t="shared" si="2"/>
        <v>8.6355693018103974E-2</v>
      </c>
      <c r="F11" s="11">
        <f t="shared" si="9"/>
        <v>0.77290278012928382</v>
      </c>
      <c r="H11" s="7">
        <v>1.1998119072826701</v>
      </c>
      <c r="I11">
        <v>4.0776699029126204</v>
      </c>
      <c r="J11">
        <f t="shared" si="3"/>
        <v>3.0242617917169725E-2</v>
      </c>
      <c r="K11">
        <f t="shared" si="4"/>
        <v>0.5445904598846848</v>
      </c>
      <c r="L11">
        <f t="shared" si="5"/>
        <v>0.12331941286612895</v>
      </c>
      <c r="N11" s="11">
        <f t="shared" si="10"/>
        <v>0.77282660324486452</v>
      </c>
      <c r="O11" s="7">
        <v>1.19788123502954</v>
      </c>
      <c r="P11">
        <v>3.7621359223300899</v>
      </c>
      <c r="Q11">
        <f t="shared" si="6"/>
        <v>3.0145366664619672E-2</v>
      </c>
      <c r="R11">
        <f t="shared" si="7"/>
        <v>0.54371413445080907</v>
      </c>
      <c r="S11">
        <f t="shared" si="8"/>
        <v>0.11341096682077767</v>
      </c>
      <c r="V11" s="11">
        <v>0.97244041689760796</v>
      </c>
      <c r="W11" s="11">
        <v>10.8031267320669</v>
      </c>
      <c r="Y11" s="2">
        <v>0.89445777341948196</v>
      </c>
      <c r="Z11" s="2">
        <f t="shared" si="11"/>
        <v>0.6293442261860982</v>
      </c>
      <c r="AA11" s="11">
        <v>3.4333006461215301</v>
      </c>
      <c r="AB11" s="2">
        <f>P51</f>
        <v>0.63545514026886085</v>
      </c>
      <c r="AC11" s="11">
        <f t="shared" si="12"/>
        <v>0.90314293231440024</v>
      </c>
      <c r="AD11" s="11">
        <f>U51</f>
        <v>3.408163265306122</v>
      </c>
      <c r="AF11" s="11">
        <v>0.89443606807725495</v>
      </c>
      <c r="AG11" s="11">
        <v>3.27051057941636</v>
      </c>
    </row>
    <row r="12" spans="1:33" x14ac:dyDescent="0.25">
      <c r="A12" s="7">
        <v>1.2984166047199599</v>
      </c>
      <c r="B12">
        <v>4.1019417475728099</v>
      </c>
      <c r="C12">
        <f t="shared" si="0"/>
        <v>3.5417766374212366E-2</v>
      </c>
      <c r="D12" s="2">
        <f t="shared" si="1"/>
        <v>0.589346789771243</v>
      </c>
      <c r="E12">
        <f t="shared" si="2"/>
        <v>0.14528161449616217</v>
      </c>
      <c r="F12" s="11">
        <f t="shared" si="9"/>
        <v>0.83768813207739345</v>
      </c>
      <c r="H12" s="7">
        <v>1.29661677141291</v>
      </c>
      <c r="I12">
        <v>2.79126213592233</v>
      </c>
      <c r="J12">
        <f t="shared" si="3"/>
        <v>3.5319643947673077E-2</v>
      </c>
      <c r="K12">
        <f t="shared" si="4"/>
        <v>0.58852985168082017</v>
      </c>
      <c r="L12">
        <f t="shared" si="5"/>
        <v>9.858638480539815E-2</v>
      </c>
      <c r="N12" s="11">
        <f t="shared" si="10"/>
        <v>0.83780960332552257</v>
      </c>
      <c r="O12" s="7">
        <v>1.29860488515456</v>
      </c>
      <c r="P12">
        <v>2.6699029126213598</v>
      </c>
      <c r="Q12">
        <f t="shared" si="6"/>
        <v>3.5428038818220341E-2</v>
      </c>
      <c r="R12">
        <f t="shared" si="7"/>
        <v>0.58943224960694207</v>
      </c>
      <c r="S12">
        <f t="shared" si="8"/>
        <v>9.4589424029229083E-2</v>
      </c>
      <c r="V12" s="11">
        <v>1.0019984418665</v>
      </c>
      <c r="W12" s="11">
        <v>14.9883139987829</v>
      </c>
      <c r="Y12" s="2">
        <v>0.99928372370649698</v>
      </c>
      <c r="Z12" s="2">
        <f t="shared" si="11"/>
        <v>0.70310020274315421</v>
      </c>
      <c r="AA12" s="11">
        <v>2.12792779872946</v>
      </c>
      <c r="AB12" s="2">
        <f>P53</f>
        <v>0.70353961958338174</v>
      </c>
      <c r="AC12" s="11">
        <f t="shared" si="12"/>
        <v>0.99990824649094323</v>
      </c>
      <c r="AD12" s="11">
        <f>U53</f>
        <v>1.7481789802289278</v>
      </c>
      <c r="AF12" s="11">
        <v>1.0123301847667201</v>
      </c>
      <c r="AG12" s="11">
        <v>2.4763857504428302</v>
      </c>
    </row>
    <row r="13" spans="1:33" x14ac:dyDescent="0.25">
      <c r="A13" s="7">
        <v>1.4006464983218001</v>
      </c>
      <c r="B13">
        <v>6.5533980582524203</v>
      </c>
      <c r="C13">
        <f t="shared" si="0"/>
        <v>4.1214508681956315E-2</v>
      </c>
      <c r="D13" s="2">
        <f t="shared" si="1"/>
        <v>0.63574858361297737</v>
      </c>
      <c r="E13">
        <f t="shared" si="2"/>
        <v>0.27009508116816006</v>
      </c>
      <c r="F13" s="11">
        <f t="shared" si="9"/>
        <v>0.90364290214309684</v>
      </c>
      <c r="H13" s="7">
        <v>1.39731170079366</v>
      </c>
      <c r="I13">
        <v>1.9174757281553401</v>
      </c>
      <c r="J13">
        <f t="shared" si="3"/>
        <v>4.1018487167539308E-2</v>
      </c>
      <c r="K13">
        <f t="shared" si="4"/>
        <v>0.63423493059082559</v>
      </c>
      <c r="L13">
        <f t="shared" si="5"/>
        <v>7.8651953549407905E-2</v>
      </c>
      <c r="N13" s="11">
        <f t="shared" si="10"/>
        <v>0.90149141986687742</v>
      </c>
      <c r="O13" s="7">
        <v>1.39731170079366</v>
      </c>
      <c r="P13">
        <v>1.9174757281553401</v>
      </c>
      <c r="Q13">
        <f t="shared" si="6"/>
        <v>4.1018487167539308E-2</v>
      </c>
      <c r="R13">
        <f t="shared" si="7"/>
        <v>0.63423493059082559</v>
      </c>
      <c r="S13">
        <f t="shared" si="8"/>
        <v>7.8651953549407905E-2</v>
      </c>
      <c r="V13" s="11">
        <v>1.01473172584602</v>
      </c>
      <c r="W13" s="11">
        <v>12.987943845178799</v>
      </c>
      <c r="Y13" s="2">
        <v>1.0122681695032101</v>
      </c>
      <c r="Z13" s="2">
        <f t="shared" si="11"/>
        <v>0.71223611305130408</v>
      </c>
      <c r="AA13" s="11">
        <v>2.01127127414235</v>
      </c>
      <c r="AB13" s="2">
        <f>P54</f>
        <v>0.7262344460215554</v>
      </c>
      <c r="AC13" s="11">
        <f t="shared" si="12"/>
        <v>1.0321633512164576</v>
      </c>
      <c r="AD13" s="11">
        <f>U54</f>
        <v>1.5312499999999991</v>
      </c>
      <c r="AF13" s="11">
        <v>1.1423699908139799</v>
      </c>
      <c r="AG13" s="11">
        <v>2.7749311049181902</v>
      </c>
    </row>
    <row r="14" spans="1:33" x14ac:dyDescent="0.25">
      <c r="A14" s="7">
        <v>1.49651315147282</v>
      </c>
      <c r="B14">
        <v>12.402912621359199</v>
      </c>
      <c r="C14">
        <f t="shared" si="0"/>
        <v>4.7049403624603192E-2</v>
      </c>
      <c r="D14" s="2">
        <f t="shared" si="1"/>
        <v>0.67926212470239711</v>
      </c>
      <c r="E14">
        <f t="shared" si="2"/>
        <v>0.58354964204301418</v>
      </c>
      <c r="F14" s="11">
        <f t="shared" si="9"/>
        <v>0.96549235578891612</v>
      </c>
      <c r="H14" s="7">
        <v>1.49795557107351</v>
      </c>
      <c r="I14">
        <v>1.4320388349514499</v>
      </c>
      <c r="J14">
        <f t="shared" si="3"/>
        <v>4.7140144809037096E-2</v>
      </c>
      <c r="K14">
        <f t="shared" si="4"/>
        <v>0.67991683395217062</v>
      </c>
      <c r="L14">
        <f t="shared" si="5"/>
        <v>6.7506518051776127E-2</v>
      </c>
      <c r="N14" s="11">
        <f t="shared" si="10"/>
        <v>0.96641471374083221</v>
      </c>
      <c r="O14" s="7">
        <v>1.49794280629829</v>
      </c>
      <c r="P14">
        <v>1.5291262135922301</v>
      </c>
      <c r="Q14">
        <f t="shared" si="6"/>
        <v>4.7139341406319264E-2</v>
      </c>
      <c r="R14">
        <f t="shared" si="7"/>
        <v>0.67991104006500791</v>
      </c>
      <c r="S14">
        <f t="shared" si="8"/>
        <v>7.2082002635876413E-2</v>
      </c>
      <c r="V14" s="11">
        <v>1.14249092057782</v>
      </c>
      <c r="W14" s="11">
        <v>3.68190433370413</v>
      </c>
      <c r="Y14" s="2">
        <v>1.1412738710315</v>
      </c>
      <c r="Z14" s="2">
        <f t="shared" si="11"/>
        <v>0.80300506359833046</v>
      </c>
      <c r="AA14" s="11">
        <v>2.0540327363072199</v>
      </c>
      <c r="AB14" s="2">
        <f>P56</f>
        <v>0.81701375177424973</v>
      </c>
      <c r="AC14" s="11">
        <f t="shared" si="12"/>
        <v>1.1611837701185148</v>
      </c>
      <c r="AD14" s="11">
        <f>U56</f>
        <v>1.4382716049382713</v>
      </c>
      <c r="AF14" s="11">
        <v>1.2213448785082199</v>
      </c>
      <c r="AG14" s="11">
        <v>2.5865888116712701</v>
      </c>
    </row>
    <row r="15" spans="1:33" x14ac:dyDescent="0.25">
      <c r="A15" s="7">
        <v>1.5494901598600299</v>
      </c>
      <c r="B15">
        <v>14.4660194174757</v>
      </c>
      <c r="C15">
        <f t="shared" si="0"/>
        <v>5.0439490661829026E-2</v>
      </c>
      <c r="D15" s="2">
        <f t="shared" si="1"/>
        <v>0.703308204913625</v>
      </c>
      <c r="E15">
        <f t="shared" si="2"/>
        <v>0.7296586513216029</v>
      </c>
      <c r="F15" s="11">
        <f t="shared" si="9"/>
        <v>0.99967107087743867</v>
      </c>
      <c r="H15" s="7">
        <v>1.54727228016429</v>
      </c>
      <c r="I15">
        <v>1.3349514563106799</v>
      </c>
      <c r="J15">
        <f t="shared" si="3"/>
        <v>5.029519976816809E-2</v>
      </c>
      <c r="K15">
        <f t="shared" si="4"/>
        <v>0.70230151701851362</v>
      </c>
      <c r="L15">
        <f t="shared" si="5"/>
        <v>6.7141650175952569E-2</v>
      </c>
      <c r="N15" s="11">
        <f t="shared" si="10"/>
        <v>1.0313071250940644</v>
      </c>
      <c r="O15" s="7">
        <v>1.5985260438958</v>
      </c>
      <c r="P15">
        <v>1.5048543689320399</v>
      </c>
      <c r="Q15">
        <f t="shared" si="6"/>
        <v>5.3682468760780623E-2</v>
      </c>
      <c r="R15">
        <f t="shared" si="7"/>
        <v>0.72556542246230926</v>
      </c>
      <c r="S15">
        <f t="shared" si="8"/>
        <v>8.0784297649718478E-2</v>
      </c>
      <c r="V15" s="11">
        <v>1.30115232111503</v>
      </c>
      <c r="W15" s="11">
        <v>1.1424083627582799</v>
      </c>
      <c r="Y15" s="2">
        <v>1.22031697551559</v>
      </c>
      <c r="Z15" s="2">
        <f t="shared" si="11"/>
        <v>0.85862012213453376</v>
      </c>
      <c r="AA15" s="11">
        <v>2.3773163669908199</v>
      </c>
      <c r="AB15" s="2">
        <f>P57</f>
        <v>0.86240340465059695</v>
      </c>
      <c r="AC15" s="11">
        <f t="shared" si="12"/>
        <v>1.2256939795695434</v>
      </c>
      <c r="AD15" s="11">
        <f>U57</f>
        <v>1.4515235457063711</v>
      </c>
      <c r="AF15" s="11">
        <v>1.30122363866806</v>
      </c>
      <c r="AG15" s="11">
        <v>1.67729001050383</v>
      </c>
    </row>
    <row r="16" spans="1:33" x14ac:dyDescent="0.25">
      <c r="A16" s="7">
        <v>1.59700065325614</v>
      </c>
      <c r="B16">
        <v>13.1067961165048</v>
      </c>
      <c r="C16">
        <f t="shared" si="0"/>
        <v>5.3580064842448288E-2</v>
      </c>
      <c r="D16" s="2">
        <f t="shared" si="1"/>
        <v>0.72487305294595927</v>
      </c>
      <c r="E16">
        <f t="shared" si="2"/>
        <v>0.70226298579907653</v>
      </c>
      <c r="F16" s="11">
        <f t="shared" si="9"/>
        <v>1.0303230021007355</v>
      </c>
      <c r="H16" s="7">
        <v>1.5965857980612499</v>
      </c>
      <c r="I16">
        <v>1.2621359223300901</v>
      </c>
      <c r="J16">
        <f t="shared" si="3"/>
        <v>5.3552231314514261E-2</v>
      </c>
      <c r="K16">
        <f t="shared" si="4"/>
        <v>0.72468475161305912</v>
      </c>
      <c r="L16">
        <f t="shared" si="5"/>
        <v>6.7590194862978792E-2</v>
      </c>
      <c r="N16" s="11">
        <f t="shared" si="10"/>
        <v>1.0961933599431612</v>
      </c>
      <c r="O16" s="7">
        <v>1.6990997079118999</v>
      </c>
      <c r="P16">
        <v>1.5533980582524201</v>
      </c>
      <c r="Q16">
        <f t="shared" si="6"/>
        <v>6.0649996164418143E-2</v>
      </c>
      <c r="R16">
        <f t="shared" si="7"/>
        <v>0.77121545944424064</v>
      </c>
      <c r="S16">
        <f t="shared" si="8"/>
        <v>9.4213586274823874E-2</v>
      </c>
      <c r="V16" s="11">
        <v>1.471083445413</v>
      </c>
      <c r="W16" s="11">
        <v>0.625840597517068</v>
      </c>
      <c r="Y16" s="2">
        <v>1.30122363866806</v>
      </c>
      <c r="Z16" s="2">
        <f t="shared" si="11"/>
        <v>0.91554638833526469</v>
      </c>
      <c r="AA16" s="11">
        <v>1.67729001050383</v>
      </c>
      <c r="AB16" s="2">
        <f>P58</f>
        <v>0.90779305752694417</v>
      </c>
      <c r="AC16" s="11">
        <f>AB16/(2*PI()/8.93)</f>
        <v>1.290204189020572</v>
      </c>
      <c r="AD16" s="11">
        <f t="shared" ref="AD16" si="13">U58</f>
        <v>1.6499999999999997</v>
      </c>
      <c r="AF16" s="11">
        <v>1.47107414312347</v>
      </c>
      <c r="AG16" s="11">
        <v>0.55607342607199595</v>
      </c>
    </row>
    <row r="17" spans="1:30" x14ac:dyDescent="0.25">
      <c r="A17" s="7">
        <v>1.69854444018951</v>
      </c>
      <c r="B17">
        <v>5.7766990291262097</v>
      </c>
      <c r="C17">
        <f t="shared" si="0"/>
        <v>6.0610361665938993E-2</v>
      </c>
      <c r="D17" s="2">
        <f t="shared" si="1"/>
        <v>0.7709634253525135</v>
      </c>
      <c r="E17">
        <f t="shared" si="2"/>
        <v>0.35012781739061821</v>
      </c>
      <c r="F17" s="11">
        <f t="shared" si="9"/>
        <v>1.0958351227029097</v>
      </c>
      <c r="H17" s="7">
        <v>1.6971626532711599</v>
      </c>
      <c r="I17">
        <v>1.28640776699029</v>
      </c>
      <c r="J17">
        <f t="shared" si="3"/>
        <v>6.0511787219714369E-2</v>
      </c>
      <c r="K17">
        <f t="shared" si="4"/>
        <v>0.77033623706678367</v>
      </c>
      <c r="L17">
        <f t="shared" si="5"/>
        <v>7.7842833073904327E-2</v>
      </c>
      <c r="N17" s="11">
        <f t="shared" si="10"/>
        <v>1.1610693006186903</v>
      </c>
      <c r="O17" s="7">
        <v>1.79965741595897</v>
      </c>
      <c r="P17">
        <v>1.7233009708737801</v>
      </c>
      <c r="Q17">
        <f t="shared" si="6"/>
        <v>6.8041319638994069E-2</v>
      </c>
      <c r="R17">
        <f t="shared" si="7"/>
        <v>0.81685825406721646</v>
      </c>
      <c r="S17">
        <f t="shared" si="8"/>
        <v>0.11725567219341168</v>
      </c>
      <c r="Y17" s="2">
        <v>1.4710710423603</v>
      </c>
      <c r="Z17" s="2">
        <f t="shared" si="11"/>
        <v>1.0350517311506826</v>
      </c>
      <c r="AA17" s="11">
        <v>0.53281770225697</v>
      </c>
      <c r="AB17" s="2">
        <f>P61</f>
        <v>1.0439620161559857</v>
      </c>
      <c r="AC17" s="11">
        <f t="shared" si="12"/>
        <v>1.4837348173736575</v>
      </c>
      <c r="AD17" s="11">
        <f>U61</f>
        <v>6.8052930056710759E-2</v>
      </c>
    </row>
    <row r="18" spans="1:30" x14ac:dyDescent="0.25">
      <c r="A18" s="7">
        <v>1.7974778305889001</v>
      </c>
      <c r="B18">
        <v>3.3009708737864001</v>
      </c>
      <c r="C18">
        <f t="shared" si="0"/>
        <v>6.7876608223919735E-2</v>
      </c>
      <c r="D18" s="2">
        <f t="shared" si="1"/>
        <v>0.81586894783359809</v>
      </c>
      <c r="E18">
        <f t="shared" si="2"/>
        <v>0.22405870675856948</v>
      </c>
      <c r="F18" s="11">
        <f t="shared" si="9"/>
        <v>1.1596631165089677</v>
      </c>
      <c r="H18" s="7">
        <v>1.79772036131822</v>
      </c>
      <c r="I18">
        <v>1.4563106796116501</v>
      </c>
      <c r="J18">
        <f t="shared" si="3"/>
        <v>6.7894926418027565E-2</v>
      </c>
      <c r="K18">
        <f t="shared" si="4"/>
        <v>0.81597903168975483</v>
      </c>
      <c r="L18">
        <f t="shared" si="5"/>
        <v>9.88761064340207E-2</v>
      </c>
      <c r="N18" s="11">
        <f t="shared" si="10"/>
        <v>1.2259658296413547</v>
      </c>
      <c r="O18" s="7">
        <v>1.9002470359440999</v>
      </c>
      <c r="P18">
        <v>1.6504854368932</v>
      </c>
      <c r="Q18">
        <f t="shared" si="6"/>
        <v>7.5860058773410469E-2</v>
      </c>
      <c r="R18">
        <f t="shared" si="7"/>
        <v>0.86251553340810372</v>
      </c>
      <c r="S18">
        <f t="shared" si="8"/>
        <v>0.1252059222473762</v>
      </c>
    </row>
    <row r="19" spans="1:30" x14ac:dyDescent="0.25">
      <c r="A19" s="7">
        <v>1.9001864032617699</v>
      </c>
      <c r="B19">
        <v>2.1116504854368898</v>
      </c>
      <c r="C19">
        <f t="shared" si="0"/>
        <v>7.5855217797077767E-2</v>
      </c>
      <c r="D19" s="2">
        <f t="shared" si="1"/>
        <v>0.86248801244406448</v>
      </c>
      <c r="E19">
        <f t="shared" si="2"/>
        <v>0.16017970748412028</v>
      </c>
      <c r="F19" s="11">
        <f t="shared" si="9"/>
        <v>1.2259267117817869</v>
      </c>
      <c r="H19" s="7">
        <v>1.90027256549456</v>
      </c>
      <c r="I19">
        <v>1.4563106796116501</v>
      </c>
      <c r="J19">
        <f t="shared" si="3"/>
        <v>7.5862097125447003E-2</v>
      </c>
      <c r="K19">
        <f t="shared" si="4"/>
        <v>0.86252712118243846</v>
      </c>
      <c r="L19">
        <f t="shared" si="5"/>
        <v>0.11047878222152473</v>
      </c>
      <c r="N19" s="11">
        <f t="shared" si="10"/>
        <v>1.2908664763334514</v>
      </c>
      <c r="O19" s="7">
        <v>2.0008430383168498</v>
      </c>
      <c r="P19">
        <v>1.5291262135922301</v>
      </c>
      <c r="Q19">
        <f t="shared" si="6"/>
        <v>8.4104471932374025E-2</v>
      </c>
      <c r="R19">
        <f t="shared" si="7"/>
        <v>0.90817570969257688</v>
      </c>
      <c r="S19">
        <f t="shared" si="8"/>
        <v>0.12860635271212509</v>
      </c>
    </row>
    <row r="20" spans="1:30" x14ac:dyDescent="0.25">
      <c r="A20" s="7">
        <v>2.00281519608947</v>
      </c>
      <c r="B20">
        <v>1.5291262135922301</v>
      </c>
      <c r="C20">
        <f t="shared" si="0"/>
        <v>8.4270351043842506E-2</v>
      </c>
      <c r="D20" s="2">
        <f t="shared" si="1"/>
        <v>0.90907086525974312</v>
      </c>
      <c r="E20">
        <f t="shared" si="2"/>
        <v>0.12886000280975893</v>
      </c>
      <c r="F20" s="11">
        <f t="shared" si="9"/>
        <v>1.2921388361867547</v>
      </c>
      <c r="H20" s="7">
        <v>1.9988932189008699</v>
      </c>
      <c r="I20">
        <v>1.3592233009708701</v>
      </c>
      <c r="J20">
        <f t="shared" si="3"/>
        <v>8.3940632364871468E-2</v>
      </c>
      <c r="K20">
        <f t="shared" si="4"/>
        <v>0.90729069342794799</v>
      </c>
      <c r="L20">
        <f t="shared" si="5"/>
        <v>0.11409406340856285</v>
      </c>
      <c r="N20" s="11">
        <f t="shared" si="10"/>
        <v>1.3545050573458128</v>
      </c>
      <c r="O20" s="7">
        <v>2.0994828388860101</v>
      </c>
      <c r="P20">
        <v>1.28640776699029</v>
      </c>
      <c r="Q20">
        <f t="shared" si="6"/>
        <v>9.2601432579345819E-2</v>
      </c>
      <c r="R20">
        <f t="shared" si="7"/>
        <v>0.95294797276883991</v>
      </c>
      <c r="S20">
        <f t="shared" si="8"/>
        <v>0.11912320210449814</v>
      </c>
    </row>
    <row r="21" spans="1:30" x14ac:dyDescent="0.25">
      <c r="A21" s="7">
        <v>2.0995083684364602</v>
      </c>
      <c r="B21">
        <v>1.0922330097087301</v>
      </c>
      <c r="C21">
        <f t="shared" si="0"/>
        <v>9.2603684645687565E-2</v>
      </c>
      <c r="D21" s="2">
        <f t="shared" si="1"/>
        <v>0.9529595605431701</v>
      </c>
      <c r="E21">
        <f t="shared" si="2"/>
        <v>0.10114480119067744</v>
      </c>
      <c r="F21" s="11">
        <f t="shared" si="9"/>
        <v>1.3545215280235225</v>
      </c>
      <c r="H21" s="7">
        <v>2.1014613790462402</v>
      </c>
      <c r="I21">
        <v>1.2378640776698999</v>
      </c>
      <c r="J21">
        <f t="shared" si="3"/>
        <v>9.277604889964132E-2</v>
      </c>
      <c r="K21">
        <f t="shared" si="4"/>
        <v>0.95384602527958751</v>
      </c>
      <c r="L21">
        <f t="shared" si="5"/>
        <v>0.11484413820101204</v>
      </c>
      <c r="N21" s="11">
        <f t="shared" si="10"/>
        <v>1.4194159982114773</v>
      </c>
      <c r="O21" s="7">
        <v>2.20009479722779</v>
      </c>
      <c r="P21">
        <v>1.0436893203883399</v>
      </c>
      <c r="Q21">
        <f t="shared" si="6"/>
        <v>0.10168943522665527</v>
      </c>
      <c r="R21">
        <f t="shared" si="7"/>
        <v>0.99861539141226885</v>
      </c>
      <c r="S21">
        <f t="shared" si="8"/>
        <v>0.10613217754238195</v>
      </c>
    </row>
    <row r="22" spans="1:30" x14ac:dyDescent="0.25">
      <c r="A22" s="7">
        <v>2.2001330915534698</v>
      </c>
      <c r="B22">
        <v>0.75242718446602197</v>
      </c>
      <c r="C22">
        <f t="shared" si="0"/>
        <v>0.10169297522160987</v>
      </c>
      <c r="D22" s="2">
        <f t="shared" si="1"/>
        <v>0.9986327730737663</v>
      </c>
      <c r="E22">
        <f t="shared" si="2"/>
        <v>7.651655902596885E-2</v>
      </c>
      <c r="F22" s="11">
        <f t="shared" si="9"/>
        <v>1.419440704228045</v>
      </c>
      <c r="H22" s="7">
        <v>2.1981226394551601</v>
      </c>
      <c r="I22">
        <v>1.0436893203883399</v>
      </c>
      <c r="J22">
        <f t="shared" si="3"/>
        <v>0.10150720878330506</v>
      </c>
      <c r="K22">
        <f t="shared" si="4"/>
        <v>0.99772023584509828</v>
      </c>
      <c r="L22">
        <f t="shared" si="5"/>
        <v>0.10594198974956499</v>
      </c>
      <c r="N22" s="11">
        <f t="shared" si="10"/>
        <v>1.4830545792238323</v>
      </c>
      <c r="O22" s="7">
        <v>2.29873459779694</v>
      </c>
      <c r="P22">
        <v>0.80097087378640797</v>
      </c>
      <c r="Q22">
        <f t="shared" si="6"/>
        <v>0.11101220065354329</v>
      </c>
      <c r="R22">
        <f t="shared" si="7"/>
        <v>1.0433876544885272</v>
      </c>
      <c r="S22">
        <f t="shared" si="8"/>
        <v>8.8917539358420616E-2</v>
      </c>
    </row>
    <row r="23" spans="1:30" x14ac:dyDescent="0.25">
      <c r="A23" s="7">
        <v>2.3007354763138301</v>
      </c>
      <c r="B23">
        <v>0.58252427184466105</v>
      </c>
      <c r="C23">
        <f t="shared" si="0"/>
        <v>0.11120554058758461</v>
      </c>
      <c r="D23" s="2">
        <f t="shared" si="1"/>
        <v>1.044295846301821</v>
      </c>
      <c r="E23">
        <f t="shared" si="2"/>
        <v>6.4779926555874626E-2</v>
      </c>
      <c r="F23" s="11">
        <f t="shared" si="9"/>
        <v>1.4843454685895678</v>
      </c>
      <c r="H23" s="7">
        <v>2.2987314066031401</v>
      </c>
      <c r="I23">
        <v>0.82524271844660202</v>
      </c>
      <c r="J23">
        <f t="shared" si="3"/>
        <v>0.11101189243074901</v>
      </c>
      <c r="K23">
        <f t="shared" si="4"/>
        <v>1.0433862060167389</v>
      </c>
      <c r="L23">
        <f t="shared" si="5"/>
        <v>9.161175588945307E-2</v>
      </c>
    </row>
    <row r="24" spans="1:30" s="11" customFormat="1" x14ac:dyDescent="0.25">
      <c r="A24" s="7"/>
      <c r="D24" s="2"/>
      <c r="G24" s="7"/>
    </row>
    <row r="42" spans="1:26" s="11" customFormat="1" x14ac:dyDescent="0.25">
      <c r="A42" s="7"/>
      <c r="B42" s="2"/>
    </row>
    <row r="43" spans="1:26" s="11" customFormat="1" x14ac:dyDescent="0.25">
      <c r="A43" s="7"/>
      <c r="B43" s="2"/>
      <c r="P43" t="s">
        <v>58</v>
      </c>
    </row>
    <row r="44" spans="1:26" x14ac:dyDescent="0.25">
      <c r="C44" t="s">
        <v>66</v>
      </c>
      <c r="O44" t="s">
        <v>67</v>
      </c>
      <c r="P44" t="s">
        <v>52</v>
      </c>
      <c r="Q44">
        <f>0.005*47.6</f>
        <v>0.23800000000000002</v>
      </c>
    </row>
    <row r="45" spans="1:26" x14ac:dyDescent="0.25">
      <c r="A45" t="s">
        <v>18</v>
      </c>
      <c r="B45" t="s">
        <v>17</v>
      </c>
      <c r="C45" t="s">
        <v>51</v>
      </c>
      <c r="D45" t="s">
        <v>23</v>
      </c>
      <c r="E45" t="s">
        <v>22</v>
      </c>
      <c r="F45" t="s">
        <v>63</v>
      </c>
      <c r="G45" t="s">
        <v>61</v>
      </c>
      <c r="H45" t="s">
        <v>0</v>
      </c>
      <c r="J45" t="s">
        <v>18</v>
      </c>
      <c r="K45" t="s">
        <v>17</v>
      </c>
      <c r="L45" t="s">
        <v>57</v>
      </c>
      <c r="M45" t="s">
        <v>39</v>
      </c>
      <c r="O45" t="str">
        <f>A7</f>
        <v>w*sqrt(L/g)</v>
      </c>
      <c r="P45" t="s">
        <v>17</v>
      </c>
      <c r="Q45" t="s">
        <v>18</v>
      </c>
      <c r="R45" t="s">
        <v>53</v>
      </c>
      <c r="S45" t="s">
        <v>60</v>
      </c>
      <c r="T45" t="s">
        <v>23</v>
      </c>
      <c r="U45" t="s">
        <v>61</v>
      </c>
      <c r="V45" t="s">
        <v>0</v>
      </c>
      <c r="W45" t="s">
        <v>62</v>
      </c>
      <c r="X45" t="s">
        <v>59</v>
      </c>
      <c r="Y45" s="11" t="s">
        <v>53</v>
      </c>
      <c r="Z45" s="11" t="s">
        <v>54</v>
      </c>
    </row>
    <row r="46" spans="1:26" x14ac:dyDescent="0.25">
      <c r="A46" s="8">
        <v>17.1754</v>
      </c>
      <c r="B46" s="8">
        <f>2*PI()/A46</f>
        <v>0.3658246857237436</v>
      </c>
      <c r="C46" s="9">
        <v>2.5023199999999999E-2</v>
      </c>
      <c r="D46" s="8">
        <f>B46*B46/9.81</f>
        <v>1.3641967450038307E-2</v>
      </c>
      <c r="E46">
        <f>B46*SQRT(47.6/9.80665)</f>
        <v>0.80596493372694822</v>
      </c>
      <c r="F46">
        <f>E46/1.55</f>
        <v>0.51997737659803112</v>
      </c>
      <c r="G46">
        <f t="shared" ref="G46:G67" si="14">C46/D46</f>
        <v>1.8342808756613573</v>
      </c>
      <c r="H46">
        <f t="shared" ref="H46:H67" si="15">2*PI()/D46</f>
        <v>460.57764982879672</v>
      </c>
      <c r="I46" s="12"/>
      <c r="J46" s="10">
        <v>16.428699999999999</v>
      </c>
      <c r="K46">
        <f>2*PI()/J46</f>
        <v>0.38245176472755521</v>
      </c>
      <c r="L46" s="10">
        <v>1.00617</v>
      </c>
      <c r="M46" s="10">
        <v>2.7389199999999999E-2</v>
      </c>
      <c r="O46" s="7">
        <v>0.9</v>
      </c>
      <c r="P46" s="2">
        <f t="shared" ref="P46:P61" si="16">O46/SQRT($B$3)</f>
        <v>0.40850687588712487</v>
      </c>
      <c r="Q46" s="7">
        <f>2*PI()/P46</f>
        <v>15.380855691926474</v>
      </c>
      <c r="T46">
        <f>P46*P46/9.80665</f>
        <v>1.7016806722689078E-2</v>
      </c>
      <c r="V46">
        <f t="shared" ref="V46:V61" si="17">2*PI()/T46</f>
        <v>369.23409953302257</v>
      </c>
      <c r="W46">
        <f>O46/1.55</f>
        <v>0.58064516129032262</v>
      </c>
      <c r="X46" s="2">
        <f t="shared" ref="X46:X61" si="18">0.005*V46</f>
        <v>1.846170497665113</v>
      </c>
      <c r="Y46" s="11"/>
      <c r="Z46" s="11"/>
    </row>
    <row r="47" spans="1:26" x14ac:dyDescent="0.25">
      <c r="A47" s="8">
        <v>15.7441</v>
      </c>
      <c r="B47" s="8">
        <f t="shared" ref="B47:B67" si="19">2*PI()/A47</f>
        <v>0.39908189780168996</v>
      </c>
      <c r="C47" s="9">
        <v>3.1192999999999999E-2</v>
      </c>
      <c r="D47" s="8">
        <f t="shared" ref="D47:D67" si="20">B47*B47/9.81</f>
        <v>1.6235103073700151E-2</v>
      </c>
      <c r="E47" s="11">
        <f t="shared" ref="E47:E67" si="21">B47*SQRT(47.6/9.80665)</f>
        <v>0.8792354039121848</v>
      </c>
      <c r="F47" s="11">
        <f t="shared" ref="F47:F67" si="22">E47/1.55</f>
        <v>0.56724864768528049</v>
      </c>
      <c r="G47" s="11">
        <f t="shared" si="14"/>
        <v>1.921330579694976</v>
      </c>
      <c r="H47" s="8">
        <f t="shared" si="15"/>
        <v>387.01234471113105</v>
      </c>
      <c r="I47" s="12"/>
      <c r="J47" s="10">
        <v>15.7441</v>
      </c>
      <c r="K47" s="10">
        <f t="shared" ref="K47:K87" si="23">2*PI()/J47</f>
        <v>0.39908189780168996</v>
      </c>
      <c r="L47" s="10">
        <v>1.0070600000000001</v>
      </c>
      <c r="M47" s="10">
        <v>3.1750500000000001E-2</v>
      </c>
      <c r="O47" s="7">
        <v>1</v>
      </c>
      <c r="P47" s="2">
        <f t="shared" si="16"/>
        <v>0.45389652876347208</v>
      </c>
      <c r="Q47" s="7">
        <f t="shared" ref="Q47:Q61" si="24">2*PI()/P47</f>
        <v>13.842770122733826</v>
      </c>
      <c r="R47">
        <v>0.02</v>
      </c>
      <c r="S47" s="11">
        <f t="shared" ref="S47:S54" si="25">R47/(0.005*47.6)</f>
        <v>8.4033613445378144E-2</v>
      </c>
      <c r="T47" s="11">
        <f t="shared" ref="T47:T61" si="26">P47*P47/9.80665</f>
        <v>2.1008403361344543E-2</v>
      </c>
      <c r="U47" s="11">
        <f t="shared" ref="U47:U61" si="27">S47/T47</f>
        <v>3.9999999999999987</v>
      </c>
      <c r="V47" s="11">
        <f t="shared" si="17"/>
        <v>299.07962062174823</v>
      </c>
      <c r="W47" s="11">
        <f t="shared" ref="W47:W61" si="28">O47/1.55</f>
        <v>0.64516129032258063</v>
      </c>
      <c r="X47" s="2">
        <f t="shared" si="18"/>
        <v>1.4953981031087411</v>
      </c>
      <c r="Y47" s="11"/>
      <c r="Z47" s="11"/>
    </row>
    <row r="48" spans="1:26" x14ac:dyDescent="0.25">
      <c r="A48" s="8">
        <v>14.533099999999999</v>
      </c>
      <c r="B48" s="8">
        <f t="shared" si="19"/>
        <v>0.43233620543308632</v>
      </c>
      <c r="C48" s="9">
        <v>4.0157499999999999E-2</v>
      </c>
      <c r="D48" s="8">
        <f t="shared" si="20"/>
        <v>1.9053475487082552E-2</v>
      </c>
      <c r="E48" s="11">
        <f t="shared" si="21"/>
        <v>0.95249947517968137</v>
      </c>
      <c r="F48" s="11">
        <f t="shared" si="22"/>
        <v>0.61451579043850413</v>
      </c>
      <c r="G48" s="11">
        <f t="shared" si="14"/>
        <v>2.1076207344547235</v>
      </c>
      <c r="H48" s="8">
        <f t="shared" si="15"/>
        <v>329.76583780944947</v>
      </c>
      <c r="I48" s="12"/>
      <c r="J48" s="10">
        <v>15.1144</v>
      </c>
      <c r="K48" s="10">
        <f t="shared" si="23"/>
        <v>0.41570854993778028</v>
      </c>
      <c r="L48" s="10">
        <v>1.01004</v>
      </c>
      <c r="M48" s="10">
        <v>3.5083099999999999E-2</v>
      </c>
      <c r="O48" s="7">
        <v>1.1000000000000001</v>
      </c>
      <c r="P48" s="2">
        <f t="shared" si="16"/>
        <v>0.4992861816398193</v>
      </c>
      <c r="Q48" s="7">
        <f t="shared" si="24"/>
        <v>12.584336475212568</v>
      </c>
      <c r="R48">
        <v>3.1600000000000003E-2</v>
      </c>
      <c r="S48" s="11">
        <f t="shared" si="25"/>
        <v>0.13277310924369748</v>
      </c>
      <c r="T48" s="11">
        <f t="shared" si="26"/>
        <v>2.5420168067226898E-2</v>
      </c>
      <c r="U48" s="11">
        <f t="shared" si="27"/>
        <v>5.2231404958677672</v>
      </c>
      <c r="V48" s="11">
        <f t="shared" si="17"/>
        <v>247.173240183263</v>
      </c>
      <c r="W48" s="11">
        <f t="shared" si="28"/>
        <v>0.70967741935483875</v>
      </c>
      <c r="X48" s="2">
        <f t="shared" si="18"/>
        <v>1.235866200916315</v>
      </c>
      <c r="Y48" s="11"/>
      <c r="Z48" s="11"/>
    </row>
    <row r="49" spans="1:26" x14ac:dyDescent="0.25">
      <c r="A49" s="8">
        <v>13.494999999999999</v>
      </c>
      <c r="B49" s="8">
        <f t="shared" si="19"/>
        <v>0.46559357593031392</v>
      </c>
      <c r="C49" s="9">
        <v>4.9922399999999999E-2</v>
      </c>
      <c r="D49" s="8">
        <f t="shared" si="20"/>
        <v>2.2097592043585829E-2</v>
      </c>
      <c r="E49" s="11">
        <f t="shared" si="21"/>
        <v>1.0257702943856115</v>
      </c>
      <c r="F49" s="11">
        <f t="shared" si="22"/>
        <v>0.66178728670039455</v>
      </c>
      <c r="G49" s="11">
        <f t="shared" si="14"/>
        <v>2.2591782806711174</v>
      </c>
      <c r="H49" s="8">
        <f t="shared" si="15"/>
        <v>284.33800817693071</v>
      </c>
      <c r="I49" s="12"/>
      <c r="J49" s="10">
        <v>14.533099999999999</v>
      </c>
      <c r="K49" s="10">
        <f t="shared" si="23"/>
        <v>0.43233620543308632</v>
      </c>
      <c r="L49" s="10">
        <v>0.99724299999999999</v>
      </c>
      <c r="M49" s="10">
        <v>3.9499899999999998E-2</v>
      </c>
      <c r="O49" s="7">
        <v>1.2</v>
      </c>
      <c r="P49" s="2">
        <f t="shared" si="16"/>
        <v>0.54467583451616652</v>
      </c>
      <c r="Q49" s="7">
        <f t="shared" si="24"/>
        <v>11.535641768944854</v>
      </c>
      <c r="R49">
        <v>5.5E-2</v>
      </c>
      <c r="S49" s="11">
        <f t="shared" si="25"/>
        <v>0.2310924369747899</v>
      </c>
      <c r="T49" s="11">
        <f t="shared" si="26"/>
        <v>3.0252100840336141E-2</v>
      </c>
      <c r="U49" s="11">
        <f t="shared" si="27"/>
        <v>7.6388888888888866</v>
      </c>
      <c r="V49" s="11">
        <f t="shared" si="17"/>
        <v>207.69418098732515</v>
      </c>
      <c r="W49" s="11">
        <f t="shared" si="28"/>
        <v>0.77419354838709675</v>
      </c>
      <c r="X49" s="2">
        <f t="shared" si="18"/>
        <v>1.0384709049366259</v>
      </c>
      <c r="Y49" s="11">
        <v>0.15</v>
      </c>
      <c r="Z49" s="11">
        <f t="shared" ref="Z49" si="29">Y49/X49</f>
        <v>0.14444314162961933</v>
      </c>
    </row>
    <row r="50" spans="1:26" x14ac:dyDescent="0.25">
      <c r="A50" s="8">
        <v>12.5953</v>
      </c>
      <c r="B50" s="8">
        <f t="shared" si="19"/>
        <v>0.49885158012747505</v>
      </c>
      <c r="C50" s="9">
        <v>6.5063800000000005E-2</v>
      </c>
      <c r="D50" s="8">
        <f t="shared" si="20"/>
        <v>2.5367267991404551E-2</v>
      </c>
      <c r="E50" s="11">
        <f t="shared" si="21"/>
        <v>1.099042509724566</v>
      </c>
      <c r="F50" s="11">
        <f t="shared" si="22"/>
        <v>0.70905968369326833</v>
      </c>
      <c r="G50" s="11">
        <f t="shared" si="14"/>
        <v>2.5648721818229001</v>
      </c>
      <c r="H50" s="8">
        <f t="shared" si="15"/>
        <v>247.68868722120891</v>
      </c>
      <c r="I50" s="12"/>
      <c r="J50" s="10">
        <v>13.9948</v>
      </c>
      <c r="K50" s="10">
        <f t="shared" si="23"/>
        <v>0.44896570920481799</v>
      </c>
      <c r="L50" s="10">
        <v>1.00712</v>
      </c>
      <c r="M50" s="10">
        <v>4.4408599999999999E-2</v>
      </c>
      <c r="O50" s="7">
        <v>1.3</v>
      </c>
      <c r="P50" s="2">
        <f t="shared" si="16"/>
        <v>0.59006548739251374</v>
      </c>
      <c r="Q50" s="7">
        <f t="shared" si="24"/>
        <v>10.64828470979525</v>
      </c>
      <c r="R50">
        <v>4.9000000000000002E-2</v>
      </c>
      <c r="S50" s="11">
        <f t="shared" si="25"/>
        <v>0.20588235294117646</v>
      </c>
      <c r="T50" s="11">
        <f t="shared" si="26"/>
        <v>3.5504201680672282E-2</v>
      </c>
      <c r="U50" s="11">
        <f t="shared" si="27"/>
        <v>5.7988165680473349</v>
      </c>
      <c r="V50" s="11">
        <f t="shared" si="17"/>
        <v>176.97018971701075</v>
      </c>
      <c r="W50" s="11">
        <f t="shared" si="28"/>
        <v>0.83870967741935487</v>
      </c>
      <c r="X50" s="2">
        <f t="shared" si="18"/>
        <v>0.88485094858505375</v>
      </c>
      <c r="Y50" s="11"/>
      <c r="Z50" s="11"/>
    </row>
    <row r="51" spans="1:26" x14ac:dyDescent="0.25">
      <c r="A51" s="8">
        <v>11.8081</v>
      </c>
      <c r="B51" s="8">
        <f t="shared" si="19"/>
        <v>0.53210807049225417</v>
      </c>
      <c r="C51" s="9">
        <v>8.4447800000000003E-2</v>
      </c>
      <c r="D51" s="8">
        <f t="shared" si="20"/>
        <v>2.8862283250049921E-2</v>
      </c>
      <c r="E51" s="11">
        <f t="shared" si="21"/>
        <v>1.1723113898708366</v>
      </c>
      <c r="F51" s="11">
        <f t="shared" si="22"/>
        <v>0.75632992894892681</v>
      </c>
      <c r="G51" s="11">
        <f t="shared" si="14"/>
        <v>2.9258877154098313</v>
      </c>
      <c r="H51" s="8">
        <f t="shared" si="15"/>
        <v>217.69536570426106</v>
      </c>
      <c r="I51" s="12"/>
      <c r="J51" s="10">
        <v>13.494999999999999</v>
      </c>
      <c r="K51" s="10">
        <f t="shared" si="23"/>
        <v>0.46559357593031392</v>
      </c>
      <c r="L51" s="10">
        <v>0.98840499999999998</v>
      </c>
      <c r="M51" s="10">
        <v>5.0050200000000003E-2</v>
      </c>
      <c r="O51" s="7">
        <v>1.4</v>
      </c>
      <c r="P51" s="2">
        <f t="shared" si="16"/>
        <v>0.63545514026886085</v>
      </c>
      <c r="Q51" s="7">
        <f t="shared" si="24"/>
        <v>9.8876929448098778</v>
      </c>
      <c r="R51">
        <v>3.3399999999999999E-2</v>
      </c>
      <c r="S51">
        <f t="shared" si="25"/>
        <v>0.14033613445378149</v>
      </c>
      <c r="T51" s="11">
        <f t="shared" si="26"/>
        <v>4.1176470588235294E-2</v>
      </c>
      <c r="U51" s="11">
        <f t="shared" si="27"/>
        <v>3.408163265306122</v>
      </c>
      <c r="V51" s="11">
        <f t="shared" si="17"/>
        <v>152.59164317436139</v>
      </c>
      <c r="W51" s="11">
        <f t="shared" si="28"/>
        <v>0.90322580645161277</v>
      </c>
      <c r="X51" s="2">
        <f t="shared" si="18"/>
        <v>0.76295821587180701</v>
      </c>
      <c r="Y51" s="11"/>
      <c r="Z51" s="11"/>
    </row>
    <row r="52" spans="1:26" x14ac:dyDescent="0.25">
      <c r="A52" s="8">
        <v>11.1135</v>
      </c>
      <c r="B52" s="8">
        <f t="shared" si="19"/>
        <v>0.56536512414447171</v>
      </c>
      <c r="C52" s="9">
        <v>0.112638</v>
      </c>
      <c r="D52" s="8">
        <f t="shared" si="20"/>
        <v>3.2582846442292958E-2</v>
      </c>
      <c r="E52" s="11">
        <f t="shared" si="21"/>
        <v>1.2455815110211748</v>
      </c>
      <c r="F52" s="11">
        <f t="shared" si="22"/>
        <v>0.80360097485237081</v>
      </c>
      <c r="G52" s="11">
        <f t="shared" si="14"/>
        <v>3.4569723734693238</v>
      </c>
      <c r="H52" s="8">
        <f t="shared" si="15"/>
        <v>192.83721323450521</v>
      </c>
      <c r="I52" s="12"/>
      <c r="J52" s="10">
        <v>13.0296</v>
      </c>
      <c r="K52" s="10">
        <f t="shared" si="23"/>
        <v>0.48222395984370864</v>
      </c>
      <c r="L52" s="10">
        <v>1.0156400000000001</v>
      </c>
      <c r="M52" s="10">
        <v>5.6570700000000002E-2</v>
      </c>
      <c r="O52" s="7">
        <v>1.5</v>
      </c>
      <c r="P52" s="2">
        <f t="shared" si="16"/>
        <v>0.68084479314520807</v>
      </c>
      <c r="Q52" s="7">
        <f t="shared" si="24"/>
        <v>9.2285134151558843</v>
      </c>
      <c r="R52">
        <v>2.3699999999999999E-2</v>
      </c>
      <c r="S52">
        <f t="shared" si="25"/>
        <v>9.9579831932773102E-2</v>
      </c>
      <c r="T52" s="11">
        <f t="shared" si="26"/>
        <v>4.7268907563025209E-2</v>
      </c>
      <c r="U52" s="11">
        <f t="shared" si="27"/>
        <v>2.1066666666666665</v>
      </c>
      <c r="V52" s="11">
        <f t="shared" si="17"/>
        <v>132.92427583188814</v>
      </c>
      <c r="W52" s="11">
        <f t="shared" si="28"/>
        <v>0.96774193548387089</v>
      </c>
      <c r="X52" s="2">
        <f t="shared" si="18"/>
        <v>0.66462137915944075</v>
      </c>
      <c r="Y52" s="11"/>
      <c r="Z52" s="11"/>
    </row>
    <row r="53" spans="1:26" x14ac:dyDescent="0.25">
      <c r="A53" s="8">
        <v>10.4961</v>
      </c>
      <c r="B53" s="8">
        <f t="shared" si="19"/>
        <v>0.59862094560642387</v>
      </c>
      <c r="C53" s="9">
        <v>0.160386</v>
      </c>
      <c r="D53" s="8">
        <f t="shared" si="20"/>
        <v>3.6528749899972381E-2</v>
      </c>
      <c r="E53" s="11">
        <f t="shared" si="21"/>
        <v>1.3188489174773321</v>
      </c>
      <c r="F53" s="11">
        <f t="shared" si="22"/>
        <v>0.85087026934021426</v>
      </c>
      <c r="G53" s="11">
        <f t="shared" si="14"/>
        <v>4.3906785871180682</v>
      </c>
      <c r="H53" s="8">
        <f t="shared" si="15"/>
        <v>172.00657904759936</v>
      </c>
      <c r="I53" s="12"/>
      <c r="J53" s="10">
        <v>12.5953</v>
      </c>
      <c r="K53" s="10">
        <f t="shared" si="23"/>
        <v>0.49885158012747505</v>
      </c>
      <c r="L53" s="10">
        <v>0.99201899999999998</v>
      </c>
      <c r="M53" s="10">
        <v>6.4938800000000005E-2</v>
      </c>
      <c r="O53" s="7">
        <v>1.55</v>
      </c>
      <c r="P53" s="2">
        <f t="shared" si="16"/>
        <v>0.70353961958338174</v>
      </c>
      <c r="Q53" s="7">
        <f t="shared" si="24"/>
        <v>8.9308194340218225</v>
      </c>
      <c r="R53">
        <v>2.1000000000000001E-2</v>
      </c>
      <c r="S53">
        <f t="shared" si="25"/>
        <v>8.8235294117647065E-2</v>
      </c>
      <c r="T53" s="11">
        <f t="shared" si="26"/>
        <v>5.0472689075630267E-2</v>
      </c>
      <c r="U53" s="11">
        <f t="shared" si="27"/>
        <v>1.7481789802289278</v>
      </c>
      <c r="V53" s="11">
        <f t="shared" si="17"/>
        <v>124.4868348061387</v>
      </c>
      <c r="W53" s="11">
        <f t="shared" si="28"/>
        <v>1</v>
      </c>
      <c r="X53" s="2">
        <f t="shared" si="18"/>
        <v>0.62243417403069357</v>
      </c>
      <c r="Y53" s="11">
        <v>0.1</v>
      </c>
      <c r="Z53" s="11">
        <f t="shared" ref="Z53" si="30">Y53/X53</f>
        <v>0.16065955915053726</v>
      </c>
    </row>
    <row r="54" spans="1:26" x14ac:dyDescent="0.25">
      <c r="A54" s="8">
        <v>9.9436699999999991</v>
      </c>
      <c r="B54" s="8">
        <f t="shared" si="19"/>
        <v>0.63187789892258961</v>
      </c>
      <c r="C54" s="9">
        <v>0.246172</v>
      </c>
      <c r="D54" s="8">
        <f t="shared" si="20"/>
        <v>4.0700273103652027E-2</v>
      </c>
      <c r="E54" s="11">
        <f t="shared" si="21"/>
        <v>1.3921188175727701</v>
      </c>
      <c r="F54" s="11">
        <f t="shared" si="22"/>
        <v>0.89814117262759363</v>
      </c>
      <c r="G54" s="11">
        <f t="shared" si="14"/>
        <v>6.0484115026223506</v>
      </c>
      <c r="H54" s="8">
        <f t="shared" si="15"/>
        <v>154.37698148064263</v>
      </c>
      <c r="I54" s="12"/>
      <c r="J54" s="10">
        <v>12.189</v>
      </c>
      <c r="K54" s="10">
        <f t="shared" si="23"/>
        <v>0.5154799661317242</v>
      </c>
      <c r="L54" s="10">
        <v>0.99265400000000004</v>
      </c>
      <c r="M54" s="10">
        <v>7.4207200000000001E-2</v>
      </c>
      <c r="O54" s="7">
        <v>1.6</v>
      </c>
      <c r="P54" s="2">
        <f t="shared" si="16"/>
        <v>0.7262344460215554</v>
      </c>
      <c r="Q54" s="7">
        <f t="shared" si="24"/>
        <v>8.6517313267086404</v>
      </c>
      <c r="R54">
        <v>1.9599999999999999E-2</v>
      </c>
      <c r="S54">
        <f t="shared" si="25"/>
        <v>8.2352941176470573E-2</v>
      </c>
      <c r="T54" s="11">
        <f t="shared" si="26"/>
        <v>5.3781512605042041E-2</v>
      </c>
      <c r="U54" s="11">
        <f t="shared" si="27"/>
        <v>1.5312499999999991</v>
      </c>
      <c r="V54" s="11">
        <f t="shared" si="17"/>
        <v>116.82797680537038</v>
      </c>
      <c r="W54" s="11">
        <f t="shared" si="28"/>
        <v>1.032258064516129</v>
      </c>
      <c r="X54" s="2">
        <f t="shared" si="18"/>
        <v>0.58413988402685191</v>
      </c>
      <c r="Z54" s="11"/>
    </row>
    <row r="55" spans="1:26" x14ac:dyDescent="0.25">
      <c r="A55" s="8">
        <v>9.4464900000000007</v>
      </c>
      <c r="B55" s="8">
        <f t="shared" si="19"/>
        <v>0.66513438400713765</v>
      </c>
      <c r="C55" s="9">
        <v>0.42480099999999998</v>
      </c>
      <c r="D55" s="8">
        <f t="shared" si="20"/>
        <v>4.5097222098731335E-2</v>
      </c>
      <c r="E55" s="11">
        <f t="shared" si="21"/>
        <v>1.4653876860859245</v>
      </c>
      <c r="F55" s="11">
        <f t="shared" si="22"/>
        <v>0.94541141037801579</v>
      </c>
      <c r="G55" s="11">
        <f t="shared" si="14"/>
        <v>9.4196711067919718</v>
      </c>
      <c r="H55" s="8">
        <f t="shared" si="15"/>
        <v>139.32532902855547</v>
      </c>
      <c r="I55" s="12"/>
      <c r="J55" s="10">
        <v>11.8081</v>
      </c>
      <c r="K55" s="10">
        <f t="shared" si="23"/>
        <v>0.53210807049225417</v>
      </c>
      <c r="L55" s="10">
        <v>1.0026999999999999</v>
      </c>
      <c r="M55" s="10">
        <v>8.3868600000000001E-2</v>
      </c>
      <c r="O55" s="7">
        <v>1.7</v>
      </c>
      <c r="P55" s="2">
        <f t="shared" si="16"/>
        <v>0.77162409889790251</v>
      </c>
      <c r="Q55" s="7">
        <f t="shared" si="24"/>
        <v>8.1428059545493099</v>
      </c>
      <c r="R55">
        <v>1.9619999999999999E-2</v>
      </c>
      <c r="S55" s="11">
        <f t="shared" ref="S55:S61" si="31">R55/(0.005*47.6)</f>
        <v>8.2436974789915948E-2</v>
      </c>
      <c r="T55" s="11">
        <f t="shared" si="26"/>
        <v>6.0714285714285721E-2</v>
      </c>
      <c r="U55" s="11">
        <f t="shared" si="27"/>
        <v>1.3577854671280272</v>
      </c>
      <c r="V55" s="11">
        <f t="shared" si="17"/>
        <v>103.48775800060494</v>
      </c>
      <c r="W55" s="11">
        <f t="shared" si="28"/>
        <v>1.096774193548387</v>
      </c>
      <c r="X55" s="2">
        <f t="shared" si="18"/>
        <v>0.51743879000302473</v>
      </c>
      <c r="Z55" s="11"/>
    </row>
    <row r="56" spans="1:26" x14ac:dyDescent="0.25">
      <c r="A56" s="8">
        <v>8.9966600000000003</v>
      </c>
      <c r="B56" s="8">
        <f t="shared" si="19"/>
        <v>0.69839088141372307</v>
      </c>
      <c r="C56" s="9">
        <v>0.73706899999999997</v>
      </c>
      <c r="D56" s="8">
        <f t="shared" si="20"/>
        <v>4.9719655784081246E-2</v>
      </c>
      <c r="E56" s="11">
        <f t="shared" si="21"/>
        <v>1.5386565817463176</v>
      </c>
      <c r="F56" s="11">
        <f t="shared" si="22"/>
        <v>0.99268166564278548</v>
      </c>
      <c r="G56" s="11">
        <f t="shared" si="14"/>
        <v>14.824499252385966</v>
      </c>
      <c r="H56" s="8">
        <f t="shared" si="15"/>
        <v>126.37226079089781</v>
      </c>
      <c r="I56" s="12"/>
      <c r="J56" s="10">
        <v>11.4503</v>
      </c>
      <c r="K56" s="10">
        <f t="shared" si="23"/>
        <v>0.54873543113975931</v>
      </c>
      <c r="L56" s="10">
        <v>0.99154200000000003</v>
      </c>
      <c r="M56" s="10">
        <v>9.6995799999999993E-2</v>
      </c>
      <c r="O56" s="7">
        <v>1.8</v>
      </c>
      <c r="P56" s="2">
        <f t="shared" si="16"/>
        <v>0.81701375177424973</v>
      </c>
      <c r="Q56" s="7">
        <f t="shared" si="24"/>
        <v>7.6904278459632369</v>
      </c>
      <c r="R56">
        <v>2.3300000000000001E-2</v>
      </c>
      <c r="S56">
        <f t="shared" si="31"/>
        <v>9.7899159663865545E-2</v>
      </c>
      <c r="T56" s="11">
        <f t="shared" si="26"/>
        <v>6.806722689075631E-2</v>
      </c>
      <c r="U56" s="11">
        <f t="shared" si="27"/>
        <v>1.4382716049382713</v>
      </c>
      <c r="V56" s="11">
        <f t="shared" si="17"/>
        <v>92.308524883255643</v>
      </c>
      <c r="W56" s="11">
        <f t="shared" si="28"/>
        <v>1.1612903225806452</v>
      </c>
      <c r="X56" s="2">
        <f t="shared" si="18"/>
        <v>0.46154262441627825</v>
      </c>
      <c r="Z56" s="11"/>
    </row>
    <row r="57" spans="1:26" x14ac:dyDescent="0.25">
      <c r="A57" s="8">
        <v>8.5877199999999991</v>
      </c>
      <c r="B57" s="8">
        <f t="shared" si="19"/>
        <v>0.7316476675042487</v>
      </c>
      <c r="C57" s="9">
        <v>0.52532199999999996</v>
      </c>
      <c r="D57" s="8">
        <f t="shared" si="20"/>
        <v>5.4567615633476819E-2</v>
      </c>
      <c r="E57" s="11">
        <f t="shared" si="21"/>
        <v>1.6119261134193741</v>
      </c>
      <c r="F57" s="11">
        <f t="shared" si="22"/>
        <v>1.0399523312383059</v>
      </c>
      <c r="G57" s="11">
        <f t="shared" si="14"/>
        <v>9.6269920153468984</v>
      </c>
      <c r="H57" s="8">
        <f t="shared" si="15"/>
        <v>115.14494878029635</v>
      </c>
      <c r="I57" s="12"/>
      <c r="J57" s="10">
        <v>11.1135</v>
      </c>
      <c r="K57" s="10">
        <f t="shared" si="23"/>
        <v>0.56536512414447171</v>
      </c>
      <c r="L57" s="10">
        <v>0.99037399999999998</v>
      </c>
      <c r="M57" s="10">
        <v>0.114104</v>
      </c>
      <c r="O57" s="7">
        <v>1.9</v>
      </c>
      <c r="P57" s="2">
        <f t="shared" si="16"/>
        <v>0.86240340465059695</v>
      </c>
      <c r="Q57" s="7">
        <f t="shared" si="24"/>
        <v>7.2856684856493823</v>
      </c>
      <c r="R57">
        <v>2.6200000000000001E-2</v>
      </c>
      <c r="S57" s="11">
        <f t="shared" si="31"/>
        <v>0.11008403361344538</v>
      </c>
      <c r="T57" s="11">
        <f t="shared" si="26"/>
        <v>7.584033613445379E-2</v>
      </c>
      <c r="U57" s="11">
        <f t="shared" si="27"/>
        <v>1.4515235457063711</v>
      </c>
      <c r="V57" s="11">
        <f t="shared" si="17"/>
        <v>82.847540338434428</v>
      </c>
      <c r="W57" s="11">
        <f t="shared" si="28"/>
        <v>1.225806451612903</v>
      </c>
      <c r="X57" s="2">
        <f t="shared" si="18"/>
        <v>0.41423770169217217</v>
      </c>
      <c r="Z57" s="11"/>
    </row>
    <row r="58" spans="1:26" x14ac:dyDescent="0.25">
      <c r="A58" s="8">
        <v>8.21434</v>
      </c>
      <c r="B58" s="8">
        <f t="shared" si="19"/>
        <v>0.76490446063586193</v>
      </c>
      <c r="C58" s="9">
        <v>0.32505400000000001</v>
      </c>
      <c r="D58" s="8">
        <f t="shared" si="20"/>
        <v>5.964106359843413E-2</v>
      </c>
      <c r="E58" s="11">
        <f t="shared" si="21"/>
        <v>1.6851956606049696</v>
      </c>
      <c r="F58" s="11">
        <f t="shared" si="22"/>
        <v>1.0872230068419158</v>
      </c>
      <c r="G58" s="11">
        <f t="shared" si="14"/>
        <v>5.4501710799224288</v>
      </c>
      <c r="H58" s="8">
        <f t="shared" si="15"/>
        <v>105.349987543558</v>
      </c>
      <c r="I58" s="12"/>
      <c r="J58" s="10">
        <v>10.795999999999999</v>
      </c>
      <c r="K58" s="10">
        <f t="shared" si="23"/>
        <v>0.58199196991289237</v>
      </c>
      <c r="L58" s="10">
        <v>0.99543999999999999</v>
      </c>
      <c r="M58" s="10">
        <v>0.13348099999999999</v>
      </c>
      <c r="O58" s="7">
        <v>2</v>
      </c>
      <c r="P58" s="2">
        <f t="shared" si="16"/>
        <v>0.90779305752694417</v>
      </c>
      <c r="Q58" s="7">
        <f t="shared" si="24"/>
        <v>6.9213850613669132</v>
      </c>
      <c r="R58">
        <v>3.3000000000000002E-2</v>
      </c>
      <c r="S58">
        <f t="shared" si="31"/>
        <v>0.13865546218487396</v>
      </c>
      <c r="T58" s="11">
        <f t="shared" si="26"/>
        <v>8.4033613445378172E-2</v>
      </c>
      <c r="U58" s="11">
        <f t="shared" si="27"/>
        <v>1.6499999999999997</v>
      </c>
      <c r="V58" s="11">
        <f t="shared" si="17"/>
        <v>74.769905155437058</v>
      </c>
      <c r="W58" s="11">
        <f t="shared" si="28"/>
        <v>1.2903225806451613</v>
      </c>
      <c r="X58" s="2">
        <f t="shared" si="18"/>
        <v>0.37384952577718528</v>
      </c>
      <c r="Z58" s="11"/>
    </row>
    <row r="59" spans="1:26" x14ac:dyDescent="0.25">
      <c r="A59" s="8">
        <v>7.8720699999999999</v>
      </c>
      <c r="B59" s="8">
        <f t="shared" si="19"/>
        <v>0.79816176776624015</v>
      </c>
      <c r="C59" s="9">
        <v>0.23297599999999999</v>
      </c>
      <c r="D59" s="8">
        <f t="shared" si="20"/>
        <v>6.4940082316384234E-2</v>
      </c>
      <c r="E59" s="11">
        <f t="shared" si="21"/>
        <v>1.758466340204524</v>
      </c>
      <c r="F59" s="11">
        <f t="shared" si="22"/>
        <v>1.1344944130351766</v>
      </c>
      <c r="G59" s="11">
        <f t="shared" si="14"/>
        <v>3.5875531981150672</v>
      </c>
      <c r="H59" s="8">
        <f t="shared" si="15"/>
        <v>96.753577806820132</v>
      </c>
      <c r="I59" s="12"/>
      <c r="J59" s="10">
        <v>10.4961</v>
      </c>
      <c r="K59" s="10">
        <f t="shared" si="23"/>
        <v>0.59862094560642387</v>
      </c>
      <c r="L59" s="10">
        <v>0.99576600000000004</v>
      </c>
      <c r="M59" s="10">
        <v>0.16089899999999999</v>
      </c>
      <c r="O59" s="7">
        <v>2.1</v>
      </c>
      <c r="P59" s="2">
        <f t="shared" si="16"/>
        <v>0.95318271040329139</v>
      </c>
      <c r="Q59" s="7">
        <f t="shared" si="24"/>
        <v>6.5917952965399174</v>
      </c>
      <c r="R59">
        <v>3.6499999999999998E-2</v>
      </c>
      <c r="S59" s="11">
        <f t="shared" si="31"/>
        <v>0.15336134453781511</v>
      </c>
      <c r="T59" s="11">
        <f t="shared" si="26"/>
        <v>9.2647058823529443E-2</v>
      </c>
      <c r="U59" s="11">
        <f t="shared" si="27"/>
        <v>1.6553287981859404</v>
      </c>
      <c r="V59" s="11">
        <f t="shared" si="17"/>
        <v>67.818508077493917</v>
      </c>
      <c r="W59" s="11">
        <f t="shared" si="28"/>
        <v>1.3548387096774195</v>
      </c>
      <c r="X59" s="2">
        <f t="shared" si="18"/>
        <v>0.33909254038746961</v>
      </c>
      <c r="Z59" s="11"/>
    </row>
    <row r="60" spans="1:26" x14ac:dyDescent="0.25">
      <c r="A60" s="8">
        <v>7.5571900000000003</v>
      </c>
      <c r="B60" s="8">
        <f t="shared" si="19"/>
        <v>0.83141820004255362</v>
      </c>
      <c r="C60" s="9">
        <v>0.18034600000000001</v>
      </c>
      <c r="D60" s="8">
        <f t="shared" si="20"/>
        <v>7.0464446825891924E-2</v>
      </c>
      <c r="E60" s="11">
        <f t="shared" si="21"/>
        <v>1.831735092373465</v>
      </c>
      <c r="F60" s="11">
        <f t="shared" si="22"/>
        <v>1.1817645757248161</v>
      </c>
      <c r="G60" s="11">
        <f t="shared" si="14"/>
        <v>2.559389992028327</v>
      </c>
      <c r="H60" s="8">
        <f t="shared" si="15"/>
        <v>89.168163381804206</v>
      </c>
      <c r="I60" s="12"/>
      <c r="J60" s="10">
        <v>10.212400000000001</v>
      </c>
      <c r="K60" s="10">
        <f t="shared" si="23"/>
        <v>0.61525060780811425</v>
      </c>
      <c r="L60" s="10">
        <v>1.00481</v>
      </c>
      <c r="M60" s="10">
        <v>0.19467599999999999</v>
      </c>
      <c r="O60" s="7">
        <v>2.2000000000000002</v>
      </c>
      <c r="P60" s="2">
        <f t="shared" si="16"/>
        <v>0.99857236327963861</v>
      </c>
      <c r="Q60" s="7">
        <f t="shared" si="24"/>
        <v>6.2921682376062842</v>
      </c>
      <c r="R60">
        <v>2.4E-2</v>
      </c>
      <c r="S60" s="11">
        <f t="shared" si="31"/>
        <v>0.10084033613445377</v>
      </c>
      <c r="T60" s="11">
        <f t="shared" si="26"/>
        <v>0.10168067226890759</v>
      </c>
      <c r="U60" s="11">
        <f t="shared" si="27"/>
        <v>0.99173553719008223</v>
      </c>
      <c r="V60" s="11">
        <f t="shared" si="17"/>
        <v>61.793310045815751</v>
      </c>
      <c r="W60" s="11">
        <f t="shared" si="28"/>
        <v>1.4193548387096775</v>
      </c>
      <c r="X60" s="2">
        <f t="shared" si="18"/>
        <v>0.30896655022907876</v>
      </c>
      <c r="Z60" s="11"/>
    </row>
    <row r="61" spans="1:26" x14ac:dyDescent="0.25">
      <c r="A61" s="8">
        <v>7.2665300000000004</v>
      </c>
      <c r="B61" s="8">
        <f t="shared" si="19"/>
        <v>0.86467479074325515</v>
      </c>
      <c r="C61" s="9">
        <v>0.14910100000000001</v>
      </c>
      <c r="D61" s="8">
        <f t="shared" si="20"/>
        <v>7.6214321482863612E-2</v>
      </c>
      <c r="E61" s="11">
        <f t="shared" si="21"/>
        <v>1.9050041935743505</v>
      </c>
      <c r="F61" s="11">
        <f t="shared" si="22"/>
        <v>1.2290349635963551</v>
      </c>
      <c r="G61" s="11">
        <f t="shared" si="14"/>
        <v>1.9563383508377041</v>
      </c>
      <c r="H61" s="8">
        <f t="shared" si="15"/>
        <v>82.441005639502109</v>
      </c>
      <c r="I61" s="12"/>
      <c r="J61" s="10">
        <v>9.9436699999999991</v>
      </c>
      <c r="K61" s="10">
        <f t="shared" si="23"/>
        <v>0.63187789892258961</v>
      </c>
      <c r="L61" s="10">
        <v>0.99607500000000004</v>
      </c>
      <c r="M61" s="10">
        <v>0.24573700000000001</v>
      </c>
      <c r="O61" s="7">
        <v>2.2999999999999998</v>
      </c>
      <c r="P61" s="2">
        <f t="shared" si="16"/>
        <v>1.0439620161559857</v>
      </c>
      <c r="Q61" s="7">
        <f t="shared" si="24"/>
        <v>6.0185957055364465</v>
      </c>
      <c r="R61">
        <v>1.8E-3</v>
      </c>
      <c r="S61">
        <f t="shared" si="31"/>
        <v>7.5630252100840328E-3</v>
      </c>
      <c r="T61" s="11">
        <f t="shared" si="26"/>
        <v>0.11113445378151261</v>
      </c>
      <c r="U61" s="11">
        <f t="shared" si="27"/>
        <v>6.8052930056710759E-2</v>
      </c>
      <c r="V61" s="11">
        <f t="shared" si="17"/>
        <v>56.536790287665085</v>
      </c>
      <c r="W61" s="11">
        <f t="shared" si="28"/>
        <v>1.4838709677419353</v>
      </c>
      <c r="X61" s="2">
        <f t="shared" si="18"/>
        <v>0.28268395143832542</v>
      </c>
      <c r="Z61" s="11"/>
    </row>
    <row r="62" spans="1:26" x14ac:dyDescent="0.25">
      <c r="A62" s="8">
        <v>6.9973999999999998</v>
      </c>
      <c r="B62" s="8">
        <f t="shared" si="19"/>
        <v>0.89793141840963597</v>
      </c>
      <c r="C62" s="9">
        <v>0.12533900000000001</v>
      </c>
      <c r="D62" s="8">
        <f t="shared" si="20"/>
        <v>8.2189687274937889E-2</v>
      </c>
      <c r="E62" s="11">
        <f t="shared" si="21"/>
        <v>1.9782733762159985</v>
      </c>
      <c r="F62" s="11">
        <f t="shared" si="22"/>
        <v>1.2763054040103217</v>
      </c>
      <c r="G62" s="11">
        <f t="shared" si="14"/>
        <v>1.5249966772682884</v>
      </c>
      <c r="H62" s="8">
        <f t="shared" si="15"/>
        <v>76.447368465599681</v>
      </c>
      <c r="I62" s="12"/>
      <c r="J62" s="10">
        <v>9.6887100000000004</v>
      </c>
      <c r="K62" s="10">
        <f t="shared" si="23"/>
        <v>0.64850586994342752</v>
      </c>
      <c r="L62" s="10">
        <v>0.99704999999999999</v>
      </c>
      <c r="M62" s="10">
        <v>0.31464900000000001</v>
      </c>
    </row>
    <row r="63" spans="1:26" x14ac:dyDescent="0.25">
      <c r="A63" s="8">
        <v>6.74749</v>
      </c>
      <c r="B63" s="8">
        <f t="shared" si="19"/>
        <v>0.93118853191032314</v>
      </c>
      <c r="C63" s="9">
        <v>0.10753500000000001</v>
      </c>
      <c r="D63" s="8">
        <f t="shared" si="20"/>
        <v>8.8390630169347895E-2</v>
      </c>
      <c r="E63" s="11">
        <f t="shared" si="21"/>
        <v>2.0515436292212108</v>
      </c>
      <c r="F63" s="11">
        <f t="shared" si="22"/>
        <v>1.3235765349814264</v>
      </c>
      <c r="G63" s="11">
        <f t="shared" si="14"/>
        <v>1.21658822653457</v>
      </c>
      <c r="H63" s="8">
        <f t="shared" si="15"/>
        <v>71.084291345605422</v>
      </c>
      <c r="I63" s="12"/>
      <c r="J63" s="10">
        <v>9.4464900000000007</v>
      </c>
      <c r="K63" s="10">
        <f t="shared" si="23"/>
        <v>0.66513438400713765</v>
      </c>
      <c r="L63" s="10">
        <v>0.99976600000000004</v>
      </c>
      <c r="M63" s="10">
        <v>0.429259</v>
      </c>
    </row>
    <row r="64" spans="1:26" x14ac:dyDescent="0.25">
      <c r="A64" s="8">
        <v>6.5148200000000003</v>
      </c>
      <c r="B64" s="8">
        <f t="shared" si="19"/>
        <v>0.96444495890593851</v>
      </c>
      <c r="C64" s="9">
        <v>9.3306200000000006E-2</v>
      </c>
      <c r="D64" s="8">
        <f t="shared" si="20"/>
        <v>9.4816929537112876E-2</v>
      </c>
      <c r="E64" s="11">
        <f t="shared" si="21"/>
        <v>2.1248123697560066</v>
      </c>
      <c r="F64" s="11">
        <f t="shared" si="22"/>
        <v>1.3708466901651655</v>
      </c>
      <c r="G64" s="11">
        <f t="shared" si="14"/>
        <v>0.98406687978098317</v>
      </c>
      <c r="H64" s="8">
        <f t="shared" si="15"/>
        <v>66.266492047923222</v>
      </c>
      <c r="I64" s="12"/>
      <c r="J64" s="10">
        <v>9.2160899999999994</v>
      </c>
      <c r="K64" s="10">
        <f t="shared" si="23"/>
        <v>0.68176258122257771</v>
      </c>
      <c r="L64" s="10">
        <v>1.0064900000000001</v>
      </c>
      <c r="M64" s="10">
        <v>0.59425099999999997</v>
      </c>
    </row>
    <row r="65" spans="1:13" x14ac:dyDescent="0.25">
      <c r="A65" s="8">
        <v>6.2976599999999996</v>
      </c>
      <c r="B65" s="8">
        <f t="shared" si="19"/>
        <v>0.99770157601070664</v>
      </c>
      <c r="C65" s="9">
        <v>8.2711300000000001E-2</v>
      </c>
      <c r="D65" s="8">
        <f t="shared" si="20"/>
        <v>0.10146874972214553</v>
      </c>
      <c r="E65" s="11">
        <f t="shared" si="21"/>
        <v>2.1980815291288871</v>
      </c>
      <c r="F65" s="11">
        <f t="shared" si="22"/>
        <v>1.4181171155670238</v>
      </c>
      <c r="G65" s="11">
        <f t="shared" si="14"/>
        <v>0.8151406243448398</v>
      </c>
      <c r="H65" s="8">
        <f t="shared" si="15"/>
        <v>61.922368457135747</v>
      </c>
      <c r="I65" s="12"/>
      <c r="J65" s="10">
        <v>8.9966600000000003</v>
      </c>
      <c r="K65" s="10">
        <f t="shared" si="23"/>
        <v>0.69839088141372307</v>
      </c>
      <c r="L65" s="10">
        <v>1.03206</v>
      </c>
      <c r="M65" s="10">
        <v>0.73673900000000003</v>
      </c>
    </row>
    <row r="66" spans="1:13" x14ac:dyDescent="0.25">
      <c r="A66" s="8">
        <v>6.0945099999999996</v>
      </c>
      <c r="B66" s="8">
        <f t="shared" si="19"/>
        <v>1.0309582406427402</v>
      </c>
      <c r="C66" s="9">
        <v>7.2574700000000006E-2</v>
      </c>
      <c r="D66" s="8">
        <f t="shared" si="20"/>
        <v>0.10834606462274968</v>
      </c>
      <c r="E66" s="11">
        <f t="shared" si="21"/>
        <v>2.2713507932112389</v>
      </c>
      <c r="F66" s="11">
        <f t="shared" si="22"/>
        <v>1.4653876085233799</v>
      </c>
      <c r="G66" s="11">
        <f t="shared" si="14"/>
        <v>0.66984158818041029</v>
      </c>
      <c r="H66" s="8">
        <f t="shared" si="15"/>
        <v>57.99181842974194</v>
      </c>
      <c r="I66" s="12"/>
      <c r="J66" s="10">
        <v>8.7874300000000005</v>
      </c>
      <c r="K66" s="10">
        <f t="shared" si="23"/>
        <v>0.71501967095949392</v>
      </c>
      <c r="L66" s="10">
        <v>1.0276700000000001</v>
      </c>
      <c r="M66" s="10">
        <v>0.67583599999999999</v>
      </c>
    </row>
    <row r="67" spans="1:13" x14ac:dyDescent="0.25">
      <c r="A67" s="8">
        <v>5.9040600000000003</v>
      </c>
      <c r="B67" s="8">
        <f t="shared" si="19"/>
        <v>1.0642143384687124</v>
      </c>
      <c r="C67" s="9">
        <v>6.5409099999999998E-2</v>
      </c>
      <c r="D67" s="8">
        <f t="shared" si="20"/>
        <v>0.11544874191665638</v>
      </c>
      <c r="E67" s="11">
        <f t="shared" si="21"/>
        <v>2.3446188085374855</v>
      </c>
      <c r="F67" s="11">
        <f t="shared" si="22"/>
        <v>1.5126572958306357</v>
      </c>
      <c r="G67" s="11">
        <f t="shared" si="14"/>
        <v>0.56656399120589374</v>
      </c>
      <c r="H67" s="8">
        <f t="shared" si="15"/>
        <v>54.424025787266537</v>
      </c>
      <c r="I67" s="12"/>
      <c r="J67" s="10">
        <v>8.5877199999999991</v>
      </c>
      <c r="K67" s="10">
        <f t="shared" si="23"/>
        <v>0.7316476675042487</v>
      </c>
      <c r="L67" s="10">
        <v>1.04762</v>
      </c>
      <c r="M67" s="10">
        <v>0.52365300000000004</v>
      </c>
    </row>
    <row r="68" spans="1:13" x14ac:dyDescent="0.25">
      <c r="J68" s="10">
        <v>8.3968799999999995</v>
      </c>
      <c r="K68" s="10">
        <f t="shared" si="23"/>
        <v>0.74827618200802992</v>
      </c>
      <c r="L68" s="10">
        <v>1.01346</v>
      </c>
      <c r="M68" s="10">
        <v>0.40271800000000002</v>
      </c>
    </row>
    <row r="69" spans="1:13" x14ac:dyDescent="0.25">
      <c r="J69" s="10">
        <v>8.21434</v>
      </c>
      <c r="K69" s="10">
        <f t="shared" si="23"/>
        <v>0.76490446063586193</v>
      </c>
      <c r="L69" s="10">
        <v>1.0424199999999999</v>
      </c>
      <c r="M69" s="10">
        <v>0.32465500000000003</v>
      </c>
    </row>
    <row r="70" spans="1:13" x14ac:dyDescent="0.25">
      <c r="J70" s="10">
        <v>8.0395699999999994</v>
      </c>
      <c r="K70" s="10">
        <f t="shared" si="23"/>
        <v>0.78153250822862252</v>
      </c>
      <c r="L70" s="10">
        <v>1.06297</v>
      </c>
      <c r="M70" s="10">
        <v>0.26858799999999999</v>
      </c>
    </row>
    <row r="71" spans="1:13" x14ac:dyDescent="0.25">
      <c r="J71" s="10">
        <v>7.8720699999999999</v>
      </c>
      <c r="K71" s="10">
        <f t="shared" si="23"/>
        <v>0.79816176776624015</v>
      </c>
      <c r="L71" s="10">
        <v>1.06592</v>
      </c>
      <c r="M71" s="10">
        <v>0.23238800000000001</v>
      </c>
    </row>
    <row r="72" spans="1:13" x14ac:dyDescent="0.25">
      <c r="J72" s="10">
        <v>7.7114200000000004</v>
      </c>
      <c r="K72" s="10">
        <f t="shared" si="23"/>
        <v>0.81478966353532634</v>
      </c>
      <c r="L72" s="10">
        <v>1.0661700000000001</v>
      </c>
      <c r="M72" s="10">
        <v>0.20238300000000001</v>
      </c>
    </row>
    <row r="73" spans="1:13" x14ac:dyDescent="0.25">
      <c r="J73" s="10">
        <v>7.5571900000000003</v>
      </c>
      <c r="K73" s="10">
        <f t="shared" si="23"/>
        <v>0.83141820004255362</v>
      </c>
      <c r="L73" s="10">
        <v>1.06887</v>
      </c>
      <c r="M73" s="10">
        <v>0.18154600000000001</v>
      </c>
    </row>
    <row r="74" spans="1:13" x14ac:dyDescent="0.25">
      <c r="J74" s="10">
        <v>7.4090100000000003</v>
      </c>
      <c r="K74" s="10">
        <f t="shared" si="23"/>
        <v>0.84804654159996895</v>
      </c>
      <c r="L74" s="10">
        <v>1.0819700000000001</v>
      </c>
      <c r="M74" s="10">
        <v>0.16292200000000001</v>
      </c>
    </row>
    <row r="75" spans="1:13" x14ac:dyDescent="0.25">
      <c r="J75" s="10">
        <v>7.2665300000000004</v>
      </c>
      <c r="K75" s="10">
        <f t="shared" si="23"/>
        <v>0.86467479074325515</v>
      </c>
      <c r="L75" s="10">
        <v>1.08626</v>
      </c>
      <c r="M75" s="10">
        <v>0.14857000000000001</v>
      </c>
    </row>
    <row r="76" spans="1:13" x14ac:dyDescent="0.25">
      <c r="J76" s="10">
        <v>7.1294300000000002</v>
      </c>
      <c r="K76" s="10">
        <f t="shared" si="23"/>
        <v>0.88130261566206358</v>
      </c>
      <c r="L76" s="10">
        <v>1.05535</v>
      </c>
      <c r="M76" s="10">
        <v>0.13631199999999999</v>
      </c>
    </row>
    <row r="77" spans="1:13" x14ac:dyDescent="0.25">
      <c r="J77" s="10">
        <v>6.9973999999999998</v>
      </c>
      <c r="K77" s="10">
        <f t="shared" si="23"/>
        <v>0.89793141840963597</v>
      </c>
      <c r="L77" s="10">
        <v>1.09945</v>
      </c>
      <c r="M77" s="10">
        <v>0.12598400000000001</v>
      </c>
    </row>
    <row r="78" spans="1:13" x14ac:dyDescent="0.25">
      <c r="J78" s="10">
        <v>6.8701699999999999</v>
      </c>
      <c r="K78" s="10">
        <f t="shared" si="23"/>
        <v>0.91456038310254129</v>
      </c>
      <c r="L78" s="10">
        <v>1.0708</v>
      </c>
      <c r="M78" s="10">
        <v>0.11614099999999999</v>
      </c>
    </row>
    <row r="79" spans="1:13" x14ac:dyDescent="0.25">
      <c r="J79" s="10">
        <v>6.74749</v>
      </c>
      <c r="K79" s="10">
        <f t="shared" si="23"/>
        <v>0.93118853191032314</v>
      </c>
      <c r="L79" s="10">
        <v>1.1258999999999999</v>
      </c>
      <c r="M79" s="10">
        <v>0.107631</v>
      </c>
    </row>
    <row r="80" spans="1:13" x14ac:dyDescent="0.25">
      <c r="J80" s="10">
        <v>6.6291200000000003</v>
      </c>
      <c r="K80" s="10">
        <f t="shared" si="23"/>
        <v>0.94781589519869691</v>
      </c>
      <c r="L80" s="10">
        <v>1.13561</v>
      </c>
      <c r="M80" s="10">
        <v>0.100548</v>
      </c>
    </row>
    <row r="81" spans="10:13" x14ac:dyDescent="0.25">
      <c r="J81" s="10">
        <v>6.5148200000000003</v>
      </c>
      <c r="K81" s="10">
        <f t="shared" si="23"/>
        <v>0.96444495890593851</v>
      </c>
      <c r="L81" s="10">
        <v>1.09981</v>
      </c>
      <c r="M81" s="10">
        <v>9.4107899999999994E-2</v>
      </c>
    </row>
    <row r="82" spans="10:13" x14ac:dyDescent="0.25">
      <c r="J82" s="10">
        <v>6.4043999999999999</v>
      </c>
      <c r="K82" s="10">
        <f t="shared" si="23"/>
        <v>0.98107321641052814</v>
      </c>
      <c r="L82" s="10">
        <v>1.14724</v>
      </c>
      <c r="M82" s="10">
        <v>8.7694900000000006E-2</v>
      </c>
    </row>
    <row r="83" spans="10:13" x14ac:dyDescent="0.25">
      <c r="J83" s="10">
        <v>6.2976599999999996</v>
      </c>
      <c r="K83" s="10">
        <f t="shared" si="23"/>
        <v>0.99770157601070664</v>
      </c>
      <c r="L83" s="10">
        <v>1.14557</v>
      </c>
      <c r="M83" s="10">
        <v>8.2296999999999995E-2</v>
      </c>
    </row>
    <row r="84" spans="10:13" x14ac:dyDescent="0.25">
      <c r="J84" s="10">
        <v>6.19442</v>
      </c>
      <c r="K84" s="10">
        <f t="shared" si="23"/>
        <v>1.014329881922696</v>
      </c>
      <c r="L84" s="10">
        <v>1.1812499999999999</v>
      </c>
      <c r="M84" s="10">
        <v>7.7428999999999998E-2</v>
      </c>
    </row>
    <row r="85" spans="10:13" x14ac:dyDescent="0.25">
      <c r="J85" s="10">
        <v>6.0945099999999996</v>
      </c>
      <c r="K85" s="10">
        <f t="shared" si="23"/>
        <v>1.0309582406427402</v>
      </c>
      <c r="L85" s="10">
        <v>1.20814</v>
      </c>
      <c r="M85" s="10">
        <v>7.2502499999999998E-2</v>
      </c>
    </row>
    <row r="86" spans="10:13" x14ac:dyDescent="0.25">
      <c r="J86" s="10">
        <v>5.99777</v>
      </c>
      <c r="K86" s="10">
        <f t="shared" si="23"/>
        <v>1.0475869043293735</v>
      </c>
      <c r="L86" s="10">
        <v>1.16713</v>
      </c>
      <c r="M86" s="10">
        <v>6.8501500000000007E-2</v>
      </c>
    </row>
    <row r="87" spans="10:13" x14ac:dyDescent="0.25">
      <c r="J87" s="10">
        <v>5.9040600000000003</v>
      </c>
      <c r="K87" s="10">
        <f t="shared" si="23"/>
        <v>1.0642143384687124</v>
      </c>
      <c r="L87" s="10">
        <v>1.2398</v>
      </c>
      <c r="M87" s="10">
        <v>6.4724299999999999E-2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Model Data</vt:lpstr>
      <vt:lpstr>KIM</vt:lpstr>
      <vt:lpstr>Bai comparison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2017-04-03T18:18:23Z</dcterms:modified>
</cp:coreProperties>
</file>